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3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tabRatio="603" activeTab="0"/>
  </bookViews>
  <sheets>
    <sheet name="DATA RECAP" sheetId="1" r:id="rId1"/>
    <sheet name="ALTAMIRA" sheetId="2" r:id="rId2"/>
    <sheet name="BOSTON" sheetId="3" r:id="rId3"/>
    <sheet name="BUENAVENTURA" sheetId="4" r:id="rId4"/>
    <sheet name="BUENOS AIRES" sheetId="5" r:id="rId5"/>
    <sheet name="CHARLESTON" sheetId="6" r:id="rId6"/>
    <sheet name="ENSENADA" sheetId="7" r:id="rId7"/>
    <sheet name="GUANTA" sheetId="8" r:id="rId8"/>
    <sheet name="HALIFAX" sheetId="9" r:id="rId9"/>
    <sheet name="HAMPTON ROADS" sheetId="10" r:id="rId10"/>
    <sheet name="HONOLULU" sheetId="11" r:id="rId11"/>
    <sheet name="HOUSTON" sheetId="12" r:id="rId12"/>
    <sheet name="ITAJAI" sheetId="13" r:id="rId13"/>
    <sheet name="JACKSONVILLE" sheetId="14" r:id="rId14"/>
    <sheet name="LAZARO CARDENAS" sheetId="15" r:id="rId15"/>
    <sheet name="LOS ANGELES" sheetId="16" r:id="rId16"/>
    <sheet name="LONG BEACH" sheetId="17" r:id="rId17"/>
    <sheet name="WEST COAST SUMMARY" sheetId="18" r:id="rId18"/>
    <sheet name="MANZANILLO" sheetId="19" r:id="rId19"/>
    <sheet name="MONTEVIDEO" sheetId="20" r:id="rId20"/>
    <sheet name="MONTREAL" sheetId="21" r:id="rId21"/>
    <sheet name="NEW ORLEANS" sheetId="22" r:id="rId22"/>
    <sheet name="NEW YORK NEW JERSEY" sheetId="23" r:id="rId23"/>
    <sheet name="OAKLAND" sheetId="24" r:id="rId24"/>
    <sheet name="Sheet6" sheetId="25" state="hidden" r:id="rId25"/>
    <sheet name="PALM BEACH" sheetId="26" r:id="rId26"/>
    <sheet name="PARANAGUA" sheetId="27" r:id="rId27"/>
    <sheet name="PORTLAND" sheetId="28" r:id="rId28"/>
    <sheet name="BLANK E" sheetId="29" state="hidden" r:id="rId29"/>
    <sheet name="PUERTO CABELLO" sheetId="30" r:id="rId30"/>
    <sheet name="SAN DIEGO" sheetId="31" r:id="rId31"/>
    <sheet name="SANTOS" sheetId="32" r:id="rId32"/>
    <sheet name="SAVANNAH" sheetId="33" r:id="rId33"/>
    <sheet name="SEATTLE " sheetId="34" r:id="rId34"/>
    <sheet name="TACOMA" sheetId="35" r:id="rId35"/>
    <sheet name="VALPARAISO" sheetId="36" r:id="rId36"/>
    <sheet name="VANCOUVER FRASER" sheetId="37" r:id="rId37"/>
    <sheet name="VANCOUVER, BC" sheetId="38" r:id="rId38"/>
    <sheet name="BLANK A" sheetId="39" state="hidden" r:id="rId39"/>
    <sheet name="VERACRUZ" sheetId="40" r:id="rId40"/>
    <sheet name="WILMINGTON, NC" sheetId="41" r:id="rId41"/>
    <sheet name="Sheet1" sheetId="42" r:id="rId42"/>
    <sheet name="BLANK" sheetId="43" r:id="rId43"/>
    <sheet name="BLANK C" sheetId="44" r:id="rId44"/>
    <sheet name="BLANK D" sheetId="45" r:id="rId45"/>
  </sheets>
  <definedNames>
    <definedName name="history" localSheetId="38">'BLANK A'!#REF!</definedName>
    <definedName name="trend" localSheetId="38">'BLANK A'!#REF!</definedName>
  </definedNames>
  <calcPr fullCalcOnLoad="1"/>
</workbook>
</file>

<file path=xl/sharedStrings.xml><?xml version="1.0" encoding="utf-8"?>
<sst xmlns="http://schemas.openxmlformats.org/spreadsheetml/2006/main" count="1500" uniqueCount="243">
  <si>
    <t>LOADED-IN</t>
  </si>
  <si>
    <t>LOADED-OUT</t>
  </si>
  <si>
    <t>TOTAL LOADED</t>
  </si>
  <si>
    <t>EMPTY</t>
  </si>
  <si>
    <t>GRAND TOTAL</t>
  </si>
  <si>
    <t>2003</t>
  </si>
  <si>
    <t>2002</t>
  </si>
  <si>
    <t>2000</t>
  </si>
  <si>
    <t>1999</t>
  </si>
  <si>
    <t>1998</t>
  </si>
  <si>
    <t>1997</t>
  </si>
  <si>
    <t>1996</t>
  </si>
  <si>
    <t>1995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</si>
  <si>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</si>
  <si>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</si>
  <si>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</si>
  <si>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</si>
  <si>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</si>
  <si>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</si>
  <si>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</si>
  <si>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</si>
  <si>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</si>
  <si>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</si>
  <si>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</si>
  <si>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</si>
  <si>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Year-to-Date</t>
  </si>
  <si>
    <t>Average</t>
  </si>
  <si>
    <t>1994</t>
  </si>
  <si>
    <t>Monthly Average</t>
  </si>
  <si>
    <t>PORT  OF HAMPTON ROADS GENERAL CARGO</t>
  </si>
  <si>
    <t>SHORT TONS</t>
  </si>
  <si>
    <t>CONTAINERIZED</t>
  </si>
  <si>
    <t>BREAKBULK</t>
  </si>
  <si>
    <t>TOTAL GENERAL CARGO</t>
  </si>
  <si>
    <t>VIT BOXES</t>
  </si>
  <si>
    <t>TEUs</t>
  </si>
  <si>
    <t>2001</t>
  </si>
  <si>
    <t>1993</t>
  </si>
  <si>
    <t>1992</t>
  </si>
  <si>
    <t>1991</t>
  </si>
  <si>
    <t xml:space="preserve"> 1,433</t>
  </si>
  <si>
    <t>YEAR-TO-DATE</t>
  </si>
  <si>
    <t>MONTHLY AVERAGE</t>
  </si>
  <si>
    <t>TOTAL</t>
  </si>
  <si>
    <t>Change</t>
  </si>
  <si>
    <t xml:space="preserve">    1994</t>
  </si>
  <si>
    <t>LOS ANGELES (TEUs)</t>
  </si>
  <si>
    <t>LONG BEACH (TEUs)</t>
  </si>
  <si>
    <t>OAKLAND TEUs</t>
  </si>
  <si>
    <t>Empty</t>
  </si>
  <si>
    <t>Total</t>
  </si>
  <si>
    <t>TOTAL TEUs</t>
  </si>
  <si>
    <t>CONTAINER TRAFFIC</t>
  </si>
  <si>
    <t>Twenty-Foot Equivalent Units -- TEUs</t>
  </si>
  <si>
    <t>Loads in</t>
  </si>
  <si>
    <t>Loads Out</t>
  </si>
  <si>
    <t>Total Loads</t>
  </si>
  <si>
    <t>Empties</t>
  </si>
  <si>
    <t>Grand Total</t>
  </si>
  <si>
    <t>Port of Los Angeles</t>
  </si>
  <si>
    <t>Port of Oakland</t>
  </si>
  <si>
    <t>Ports of California</t>
  </si>
  <si>
    <t>Port of Long Beach</t>
  </si>
  <si>
    <t>INBOUND TEUs</t>
  </si>
  <si>
    <t>CONTAINERIZED CARGO, Short Tons</t>
  </si>
  <si>
    <t>DOMESTIC</t>
  </si>
  <si>
    <t>TOTAL PORT</t>
  </si>
  <si>
    <t xml:space="preserve">INTERNATIONAL </t>
  </si>
  <si>
    <t>Inbound full</t>
  </si>
  <si>
    <t>Outbound Full</t>
  </si>
  <si>
    <t>Hawaii &amp; Alaska</t>
  </si>
  <si>
    <t>Total Full</t>
  </si>
  <si>
    <t>TACOMA TEUS</t>
  </si>
  <si>
    <t>Source</t>
  </si>
  <si>
    <t>Port of Tacoma</t>
  </si>
  <si>
    <t>Port of Seattle</t>
  </si>
  <si>
    <t>Virginia Port Authority</t>
  </si>
  <si>
    <t>PORTLAND (OR) TEUs</t>
  </si>
  <si>
    <t>Cargo, Short Tons</t>
  </si>
  <si>
    <t>Containerized</t>
  </si>
  <si>
    <t>Breakbulk</t>
  </si>
  <si>
    <t>Other</t>
  </si>
  <si>
    <t>Container TEUs</t>
  </si>
  <si>
    <t>VIP Boxes</t>
  </si>
  <si>
    <t xml:space="preserve">Commercial Traffic </t>
  </si>
  <si>
    <t>Container Ship Arrivals</t>
  </si>
  <si>
    <t>Sources: Virginia Port Authority and Hampton Roads Maritime Association</t>
  </si>
  <si>
    <t>International</t>
  </si>
  <si>
    <t>Domestic</t>
  </si>
  <si>
    <t>SEATTLE TEUS</t>
  </si>
  <si>
    <t>Total International</t>
  </si>
  <si>
    <t>PUGET SOUND TOTAL</t>
  </si>
  <si>
    <t>VANCOUVER (BC) TEUs</t>
  </si>
  <si>
    <t>LOADED IN</t>
  </si>
  <si>
    <t>2006 v. 2005</t>
  </si>
  <si>
    <t>2001--05 Av</t>
  </si>
  <si>
    <t>2006 v 2005</t>
  </si>
  <si>
    <t>2006 v Avg</t>
  </si>
  <si>
    <t>January - March</t>
  </si>
  <si>
    <t>SAVANNAH TEUS</t>
  </si>
  <si>
    <t>Inbound Full</t>
  </si>
  <si>
    <t>Total Empty</t>
  </si>
  <si>
    <t xml:space="preserve">Georgia Ports Authority </t>
  </si>
  <si>
    <t>CHARLESTON TEUS</t>
  </si>
  <si>
    <t>CONTAINER TRAFFIC RECAP</t>
  </si>
  <si>
    <t>Port</t>
  </si>
  <si>
    <t>Long Beach</t>
  </si>
  <si>
    <t>Los Angeles</t>
  </si>
  <si>
    <t>Savannah</t>
  </si>
  <si>
    <t>Seattle</t>
  </si>
  <si>
    <t>Tacoma</t>
  </si>
  <si>
    <t>Portland (OR)</t>
  </si>
  <si>
    <t>Oakland</t>
  </si>
  <si>
    <t>Year to Date</t>
  </si>
  <si>
    <t>MONTREAL TEUs</t>
  </si>
  <si>
    <t>Inbound</t>
  </si>
  <si>
    <t>Total TEUS</t>
  </si>
  <si>
    <t>HOUSTON TEUs</t>
  </si>
  <si>
    <t>QA</t>
  </si>
  <si>
    <t>BOSTON TEUs</t>
  </si>
  <si>
    <t>Boston</t>
  </si>
  <si>
    <t>Outbound</t>
  </si>
  <si>
    <t>JACKSONVILLE TEUs</t>
  </si>
  <si>
    <t>SAN DIEGO TEUs</t>
  </si>
  <si>
    <t>San Diego</t>
  </si>
  <si>
    <t>WILMINGTON (NC) TEUs</t>
  </si>
  <si>
    <t>Port of San Diego</t>
  </si>
  <si>
    <t>Total Loaded</t>
  </si>
  <si>
    <t>Veracruz</t>
  </si>
  <si>
    <t>CONTAINERIZED CARGO (Metric Tons)</t>
  </si>
  <si>
    <t>NEW ORLEANS TEUs</t>
  </si>
  <si>
    <t>Containerized Cargo (Short Tons)</t>
  </si>
  <si>
    <t>PUERTO CABELLO (VENEZUELA) TEUs</t>
  </si>
  <si>
    <t>Domestic Loaded</t>
  </si>
  <si>
    <t>Import Loaded</t>
  </si>
  <si>
    <t>Export Loaded</t>
  </si>
  <si>
    <t>SANTOS (BRAZIL) TEUS</t>
  </si>
  <si>
    <t>VERACRUZ (MEXICO) TEUs</t>
  </si>
  <si>
    <t>Wilmington (NC)</t>
  </si>
  <si>
    <t>Country</t>
  </si>
  <si>
    <t>Canada</t>
  </si>
  <si>
    <t>Brazil</t>
  </si>
  <si>
    <t>Mexico</t>
  </si>
  <si>
    <t>Containerized Cargo, Metric Tons</t>
  </si>
  <si>
    <t>Port of Portland (OR)</t>
  </si>
  <si>
    <t>CONTAINERIZED CARGO</t>
  </si>
  <si>
    <t>BREAKBULK CARGO</t>
  </si>
  <si>
    <t>United States</t>
  </si>
  <si>
    <t>NEW YORK/NEW JERSEY TEUs</t>
  </si>
  <si>
    <t>MANZANILLO (MEXICO) TEUs</t>
  </si>
  <si>
    <t>Port of Manzanillo</t>
  </si>
  <si>
    <r>
      <t>Houston</t>
    </r>
    <r>
      <rPr>
        <b/>
        <vertAlign val="superscript"/>
        <sz val="8"/>
        <rFont val="Arial"/>
        <family val="2"/>
      </rPr>
      <t xml:space="preserve"> </t>
    </r>
  </si>
  <si>
    <t>PORT OF HALIFAX TEUs</t>
  </si>
  <si>
    <t>VIP BOXES</t>
  </si>
  <si>
    <t xml:space="preserve">LA/LB TOTAL </t>
  </si>
  <si>
    <t xml:space="preserve">Manzanillo </t>
  </si>
  <si>
    <t>LAZARO CARDENAS (MEXICO) TEUs</t>
  </si>
  <si>
    <t>ENSENADA (MEXICO) TEUs</t>
  </si>
  <si>
    <t>Ensenada</t>
  </si>
  <si>
    <t>ALTAMIRA (MEXICO) TEUs</t>
  </si>
  <si>
    <t>Altamira</t>
  </si>
  <si>
    <t>Port of Ensenada</t>
  </si>
  <si>
    <t>Port of Lazaro Cardenas</t>
  </si>
  <si>
    <t>Ports of Mexico (Pacific Coast)</t>
  </si>
  <si>
    <t>NORTH AMERICA WEST COAST</t>
  </si>
  <si>
    <t>PACIFIC NORTHWEST</t>
  </si>
  <si>
    <t>CALIFORNIA</t>
  </si>
  <si>
    <t>MEXICO</t>
  </si>
  <si>
    <t>WEST COAST TOTAL</t>
  </si>
  <si>
    <t>TOTAL CONTAINER TRAFFIC</t>
  </si>
  <si>
    <r>
      <t>(1)</t>
    </r>
    <r>
      <rPr>
        <sz val="8"/>
        <rFont val="Arial"/>
        <family val="2"/>
      </rPr>
      <t xml:space="preserve"> Loaded containers only; excludes empties</t>
    </r>
  </si>
  <si>
    <t>HAMPTON ROADS GENERAL CARGO</t>
  </si>
  <si>
    <t>BUENAVENTURA (COLOMBIA) TEUs</t>
  </si>
  <si>
    <t>TRANSHIPMENT</t>
  </si>
  <si>
    <t>RESTIBA</t>
  </si>
  <si>
    <t>Buenaventura</t>
  </si>
  <si>
    <t>Colombia</t>
  </si>
  <si>
    <t>Venezuela</t>
  </si>
  <si>
    <t>LOADED OUTBOUND</t>
  </si>
  <si>
    <t>2008 v. 2007</t>
  </si>
  <si>
    <t>2008 v 2007</t>
  </si>
  <si>
    <t>Change 2008 v.</t>
  </si>
  <si>
    <t>2003-07 avg.</t>
  </si>
  <si>
    <t>2008 V. 2007</t>
  </si>
  <si>
    <t>LOADED INBOUND</t>
  </si>
  <si>
    <t>2008 v.2007</t>
  </si>
  <si>
    <t>CY 2007 Actual</t>
  </si>
  <si>
    <t>Note:  Totals are not on accrual basis.</t>
  </si>
  <si>
    <t xml:space="preserve"> 2008 v. 2007</t>
  </si>
  <si>
    <t>Av.</t>
  </si>
  <si>
    <t>VANCOUVER FRASER (BC) TEUs</t>
  </si>
  <si>
    <t>2008  v. 2007</t>
  </si>
  <si>
    <t>2008 v /2007</t>
  </si>
  <si>
    <t>2008 v.20076</t>
  </si>
  <si>
    <t>Jacksonville</t>
  </si>
  <si>
    <t>2008 v Avg</t>
  </si>
  <si>
    <t>2003-07 Av</t>
  </si>
  <si>
    <t>2008 vs 2007</t>
  </si>
  <si>
    <t>Port of Vancouver Fraser</t>
  </si>
  <si>
    <t>PORT OF PALM  BEACH CONTAINER TRAFFIC</t>
  </si>
  <si>
    <t>CY 2008 Projected</t>
  </si>
  <si>
    <t>Vancouver Fraser</t>
  </si>
  <si>
    <t xml:space="preserve">OUTBOUND </t>
  </si>
  <si>
    <t>RELAY</t>
  </si>
  <si>
    <t>HONOLULU TEUs</t>
  </si>
  <si>
    <t>MONTEVIDEO (URUGUAY)</t>
  </si>
  <si>
    <t>Montevideo</t>
  </si>
  <si>
    <t>Uruguay</t>
  </si>
  <si>
    <t>VALPARAISO (CHILE) TEUs</t>
  </si>
  <si>
    <t>Valparaiso</t>
  </si>
  <si>
    <t>Chile</t>
  </si>
  <si>
    <t>GUANTA (VENEZUELA) TEUs</t>
  </si>
  <si>
    <t>Export</t>
  </si>
  <si>
    <t>Import</t>
  </si>
  <si>
    <t>Transshipment</t>
  </si>
  <si>
    <t>Guanta</t>
  </si>
  <si>
    <r>
      <t xml:space="preserve">Montreal </t>
    </r>
    <r>
      <rPr>
        <b/>
        <vertAlign val="superscript"/>
        <sz val="8"/>
        <rFont val="Arial"/>
        <family val="2"/>
      </rPr>
      <t xml:space="preserve"> </t>
    </r>
  </si>
  <si>
    <t>Puerto Cabello</t>
  </si>
  <si>
    <t>Year to date</t>
  </si>
  <si>
    <t>New York/NewJersey</t>
  </si>
  <si>
    <t>n/a</t>
  </si>
  <si>
    <t>Hampton Roads</t>
  </si>
  <si>
    <t>Charleston</t>
  </si>
  <si>
    <t>13,9%</t>
  </si>
  <si>
    <t>ITAJAI (BRAZIL) TEUS</t>
  </si>
  <si>
    <t>PARANAGUA (BRAZIL) TEUS</t>
  </si>
  <si>
    <t>Exports</t>
  </si>
  <si>
    <t>Imports</t>
  </si>
  <si>
    <t>Paranaguá</t>
  </si>
  <si>
    <t xml:space="preserve">Lázaro Cárdenas </t>
  </si>
  <si>
    <t>January - July</t>
  </si>
  <si>
    <t>January -  July</t>
  </si>
  <si>
    <r>
      <t>(2)</t>
    </r>
    <r>
      <rPr>
        <sz val="8"/>
        <rFont val="Arial"/>
        <family val="2"/>
      </rPr>
      <t xml:space="preserve"> May data</t>
    </r>
  </si>
  <si>
    <r>
      <t>(3)</t>
    </r>
    <r>
      <rPr>
        <sz val="8"/>
        <rFont val="Arial"/>
        <family val="2"/>
      </rPr>
      <t xml:space="preserve"> June data</t>
    </r>
  </si>
  <si>
    <r>
      <t xml:space="preserve">New Orleans </t>
    </r>
    <r>
      <rPr>
        <b/>
        <vertAlign val="superscript"/>
        <sz val="8"/>
        <rFont val="Arial"/>
        <family val="2"/>
      </rPr>
      <t xml:space="preserve">(1) (2) </t>
    </r>
  </si>
  <si>
    <r>
      <t xml:space="preserve">Honolulu </t>
    </r>
    <r>
      <rPr>
        <b/>
        <vertAlign val="superscript"/>
        <sz val="8"/>
        <rFont val="Arial"/>
        <family val="2"/>
      </rPr>
      <t xml:space="preserve">(3) </t>
    </r>
  </si>
  <si>
    <r>
      <t>Halifax</t>
    </r>
    <r>
      <rPr>
        <b/>
        <vertAlign val="superscript"/>
        <sz val="8"/>
        <rFont val="Arial"/>
        <family val="2"/>
      </rPr>
      <t xml:space="preserve"> (3)</t>
    </r>
  </si>
  <si>
    <t>Palm Beach</t>
  </si>
  <si>
    <t>BUENOS AIRES (ARGENTINA) TEUs</t>
  </si>
  <si>
    <r>
      <t xml:space="preserve">Buenos Aires </t>
    </r>
    <r>
      <rPr>
        <b/>
        <vertAlign val="superscript"/>
        <sz val="8"/>
        <rFont val="Arial"/>
        <family val="2"/>
      </rPr>
      <t>(2)</t>
    </r>
  </si>
  <si>
    <t>Argentina</t>
  </si>
  <si>
    <t>Itajai</t>
  </si>
  <si>
    <t>Santos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</si>
</sst>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#,##0.0"/>
    <numFmt numFmtId="171" formatCode="_(* #,##0.0_);_(* \(#,##0.0\);_(* &quot;-&quot;??_);_(@_)"/>
    <numFmt numFmtId="172" formatCode="#,##0.000"/>
    <numFmt numFmtId="173" formatCode="#,##0.0000"/>
    <numFmt numFmtId="174" formatCode="_(* #,##0.000_);_(* \(#,##0.000\);_(* &quot;-&quot;??_);_(@_)"/>
    <numFmt numFmtId="175" formatCode="_(* #,##0.0000_);_(* \(#,##0.0000\);_(* &quot;-&quot;??_);_(@_)"/>
    <numFmt numFmtId="176" formatCode="[$-409]mmm\-yy;@"/>
    <numFmt numFmtId="177" formatCode="0_);\(0\)"/>
    <numFmt numFmtId="178" formatCode="0.0"/>
    <numFmt numFmtId="179" formatCode="0.00%_);\(0.00%\)"/>
    <numFmt numFmtId="180" formatCode="_-* #,##0\ _€_-;\-* #,##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ck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2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Alignment="1">
      <alignment/>
    </xf>
    <xf numFmtId="164" fontId="2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 vertical="center" wrapText="1"/>
    </xf>
    <xf numFmtId="3" fontId="2" fillId="7" borderId="5" xfId="0" applyNumberFormat="1" applyFont="1" applyFill="1" applyBorder="1" applyAlignment="1">
      <alignment horizontal="center" vertical="center" wrapText="1"/>
    </xf>
    <xf numFmtId="3" fontId="2" fillId="7" borderId="5" xfId="0" applyNumberFormat="1" applyFont="1" applyFill="1" applyBorder="1" applyAlignment="1">
      <alignment horizontal="center"/>
    </xf>
    <xf numFmtId="164" fontId="2" fillId="8" borderId="5" xfId="0" applyNumberFormat="1" applyFont="1" applyFill="1" applyBorder="1" applyAlignment="1">
      <alignment horizontal="center" vertical="center" wrapText="1"/>
    </xf>
    <xf numFmtId="3" fontId="2" fillId="8" borderId="5" xfId="0" applyNumberFormat="1" applyFont="1" applyFill="1" applyBorder="1" applyAlignment="1">
      <alignment horizontal="center" vertical="center" wrapText="1"/>
    </xf>
    <xf numFmtId="3" fontId="2" fillId="8" borderId="5" xfId="0" applyNumberFormat="1" applyFont="1" applyFill="1" applyBorder="1" applyAlignment="1">
      <alignment horizontal="center"/>
    </xf>
    <xf numFmtId="3" fontId="2" fillId="8" borderId="6" xfId="0" applyNumberFormat="1" applyFont="1" applyFill="1" applyBorder="1" applyAlignment="1">
      <alignment horizontal="center"/>
    </xf>
    <xf numFmtId="164" fontId="2" fillId="8" borderId="7" xfId="0" applyNumberFormat="1" applyFont="1" applyFill="1" applyBorder="1" applyAlignment="1">
      <alignment horizontal="center" vertical="center" wrapText="1"/>
    </xf>
    <xf numFmtId="3" fontId="2" fillId="8" borderId="7" xfId="0" applyNumberFormat="1" applyFont="1" applyFill="1" applyBorder="1" applyAlignment="1">
      <alignment horizontal="center" vertical="center" wrapText="1"/>
    </xf>
    <xf numFmtId="3" fontId="2" fillId="8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horizontal="center"/>
    </xf>
    <xf numFmtId="164" fontId="2" fillId="7" borderId="7" xfId="0" applyNumberFormat="1" applyFont="1" applyFill="1" applyBorder="1" applyAlignment="1">
      <alignment horizontal="center" vertical="center" wrapText="1"/>
    </xf>
    <xf numFmtId="3" fontId="2" fillId="7" borderId="7" xfId="0" applyNumberFormat="1" applyFont="1" applyFill="1" applyBorder="1" applyAlignment="1">
      <alignment horizontal="center" vertical="center" wrapText="1"/>
    </xf>
    <xf numFmtId="3" fontId="2" fillId="7" borderId="7" xfId="0" applyNumberFormat="1" applyFont="1" applyFill="1" applyBorder="1" applyAlignment="1">
      <alignment horizontal="center"/>
    </xf>
    <xf numFmtId="3" fontId="2" fillId="8" borderId="8" xfId="0" applyNumberFormat="1" applyFont="1" applyFill="1" applyBorder="1" applyAlignment="1">
      <alignment horizontal="center"/>
    </xf>
    <xf numFmtId="3" fontId="2" fillId="5" borderId="7" xfId="0" applyNumberFormat="1" applyFont="1" applyFill="1" applyBorder="1" applyAlignment="1">
      <alignment horizontal="center"/>
    </xf>
    <xf numFmtId="3" fontId="2" fillId="8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/>
    </xf>
    <xf numFmtId="3" fontId="2" fillId="5" borderId="9" xfId="0" applyNumberFormat="1" applyFont="1" applyFill="1" applyBorder="1" applyAlignment="1">
      <alignment horizontal="center"/>
    </xf>
    <xf numFmtId="3" fontId="2" fillId="6" borderId="9" xfId="0" applyNumberFormat="1" applyFont="1" applyFill="1" applyBorder="1" applyAlignment="1">
      <alignment horizontal="center"/>
    </xf>
    <xf numFmtId="3" fontId="2" fillId="7" borderId="9" xfId="0" applyNumberFormat="1" applyFont="1" applyFill="1" applyBorder="1" applyAlignment="1">
      <alignment horizontal="center"/>
    </xf>
    <xf numFmtId="3" fontId="2" fillId="8" borderId="10" xfId="0" applyNumberFormat="1" applyFont="1" applyFill="1" applyBorder="1" applyAlignment="1">
      <alignment horizontal="center"/>
    </xf>
    <xf numFmtId="0" fontId="2" fillId="9" borderId="11" xfId="0" applyFont="1" applyFill="1" applyBorder="1" applyAlignment="1">
      <alignment/>
    </xf>
    <xf numFmtId="0" fontId="2" fillId="9" borderId="12" xfId="0" applyFont="1" applyFill="1" applyBorder="1" applyAlignment="1">
      <alignment/>
    </xf>
    <xf numFmtId="0" fontId="2" fillId="9" borderId="13" xfId="0" applyFont="1" applyFill="1" applyBorder="1" applyAlignment="1">
      <alignment/>
    </xf>
    <xf numFmtId="164" fontId="2" fillId="8" borderId="14" xfId="0" applyNumberFormat="1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 vertical="center" wrapText="1"/>
    </xf>
    <xf numFmtId="3" fontId="2" fillId="6" borderId="8" xfId="0" applyNumberFormat="1" applyFont="1" applyFill="1" applyBorder="1" applyAlignment="1">
      <alignment horizontal="center"/>
    </xf>
    <xf numFmtId="3" fontId="2" fillId="6" borderId="10" xfId="0" applyNumberFormat="1" applyFont="1" applyFill="1" applyBorder="1" applyAlignment="1">
      <alignment horizontal="center"/>
    </xf>
    <xf numFmtId="164" fontId="2" fillId="8" borderId="15" xfId="0" applyNumberFormat="1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3" fontId="2" fillId="7" borderId="18" xfId="0" applyNumberFormat="1" applyFont="1" applyFill="1" applyBorder="1" applyAlignment="1">
      <alignment horizontal="center"/>
    </xf>
    <xf numFmtId="3" fontId="2" fillId="7" borderId="19" xfId="0" applyNumberFormat="1" applyFont="1" applyFill="1" applyBorder="1" applyAlignment="1">
      <alignment horizontal="center"/>
    </xf>
    <xf numFmtId="3" fontId="2" fillId="7" borderId="20" xfId="0" applyNumberFormat="1" applyFont="1" applyFill="1" applyBorder="1" applyAlignment="1">
      <alignment horizontal="center"/>
    </xf>
    <xf numFmtId="0" fontId="2" fillId="10" borderId="21" xfId="0" applyFont="1" applyFill="1" applyBorder="1" applyAlignment="1">
      <alignment/>
    </xf>
    <xf numFmtId="0" fontId="2" fillId="10" borderId="22" xfId="0" applyFont="1" applyFill="1" applyBorder="1" applyAlignment="1">
      <alignment/>
    </xf>
    <xf numFmtId="164" fontId="2" fillId="3" borderId="23" xfId="0" applyNumberFormat="1" applyFont="1" applyFill="1" applyBorder="1" applyAlignment="1">
      <alignment horizontal="center"/>
    </xf>
    <xf numFmtId="164" fontId="2" fillId="8" borderId="14" xfId="0" applyNumberFormat="1" applyFont="1" applyFill="1" applyBorder="1" applyAlignment="1">
      <alignment horizontal="center"/>
    </xf>
    <xf numFmtId="3" fontId="2" fillId="3" borderId="19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3" fontId="2" fillId="6" borderId="7" xfId="0" applyNumberFormat="1" applyFont="1" applyFill="1" applyBorder="1" applyAlignment="1">
      <alignment horizontal="center" vertical="center" wrapText="1"/>
    </xf>
    <xf numFmtId="3" fontId="2" fillId="8" borderId="8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3" fontId="2" fillId="6" borderId="19" xfId="0" applyNumberFormat="1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164" fontId="2" fillId="7" borderId="15" xfId="0" applyNumberFormat="1" applyFont="1" applyFill="1" applyBorder="1" applyAlignment="1">
      <alignment horizontal="center" vertical="center" wrapText="1"/>
    </xf>
    <xf numFmtId="169" fontId="2" fillId="8" borderId="7" xfId="15" applyNumberFormat="1" applyFont="1" applyFill="1" applyBorder="1" applyAlignment="1">
      <alignment horizontal="center"/>
    </xf>
    <xf numFmtId="164" fontId="2" fillId="11" borderId="7" xfId="0" applyNumberFormat="1" applyFont="1" applyFill="1" applyBorder="1" applyAlignment="1">
      <alignment horizontal="center" vertical="center" wrapText="1"/>
    </xf>
    <xf numFmtId="3" fontId="2" fillId="11" borderId="7" xfId="0" applyNumberFormat="1" applyFont="1" applyFill="1" applyBorder="1" applyAlignment="1">
      <alignment horizontal="center" vertical="center" wrapText="1"/>
    </xf>
    <xf numFmtId="3" fontId="6" fillId="8" borderId="7" xfId="0" applyNumberFormat="1" applyFont="1" applyFill="1" applyBorder="1" applyAlignment="1">
      <alignment horizontal="center"/>
    </xf>
    <xf numFmtId="3" fontId="2" fillId="8" borderId="30" xfId="0" applyNumberFormat="1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7" borderId="7" xfId="0" applyNumberFormat="1" applyFont="1" applyFill="1" applyBorder="1" applyAlignment="1">
      <alignment/>
    </xf>
    <xf numFmtId="0" fontId="2" fillId="7" borderId="25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169" fontId="2" fillId="0" borderId="0" xfId="15" applyNumberFormat="1" applyFont="1" applyAlignment="1">
      <alignment/>
    </xf>
    <xf numFmtId="0" fontId="2" fillId="4" borderId="34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164" fontId="2" fillId="7" borderId="14" xfId="0" applyNumberFormat="1" applyFont="1" applyFill="1" applyBorder="1" applyAlignment="1">
      <alignment horizontal="center" vertical="center"/>
    </xf>
    <xf numFmtId="164" fontId="2" fillId="8" borderId="14" xfId="0" applyNumberFormat="1" applyFont="1" applyFill="1" applyBorder="1" applyAlignment="1">
      <alignment horizontal="center" vertical="center"/>
    </xf>
    <xf numFmtId="3" fontId="2" fillId="8" borderId="7" xfId="0" applyNumberFormat="1" applyFont="1" applyFill="1" applyBorder="1" applyAlignment="1">
      <alignment horizontal="center" vertical="center"/>
    </xf>
    <xf numFmtId="3" fontId="2" fillId="8" borderId="8" xfId="0" applyNumberFormat="1" applyFont="1" applyFill="1" applyBorder="1" applyAlignment="1">
      <alignment horizontal="center" vertical="center"/>
    </xf>
    <xf numFmtId="3" fontId="2" fillId="7" borderId="7" xfId="0" applyNumberFormat="1" applyFon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horizontal="center" vertical="center"/>
    </xf>
    <xf numFmtId="3" fontId="2" fillId="8" borderId="10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12" borderId="36" xfId="0" applyFont="1" applyFill="1" applyBorder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2" fillId="13" borderId="38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164" fontId="2" fillId="13" borderId="14" xfId="0" applyNumberFormat="1" applyFont="1" applyFill="1" applyBorder="1" applyAlignment="1">
      <alignment horizontal="center" vertical="center"/>
    </xf>
    <xf numFmtId="3" fontId="2" fillId="13" borderId="9" xfId="0" applyNumberFormat="1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164" fontId="2" fillId="12" borderId="40" xfId="0" applyNumberFormat="1" applyFont="1" applyFill="1" applyBorder="1" applyAlignment="1">
      <alignment horizontal="center" vertical="center"/>
    </xf>
    <xf numFmtId="164" fontId="2" fillId="12" borderId="14" xfId="0" applyNumberFormat="1" applyFont="1" applyFill="1" applyBorder="1" applyAlignment="1">
      <alignment horizontal="center" vertical="center"/>
    </xf>
    <xf numFmtId="164" fontId="2" fillId="7" borderId="4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4" fontId="2" fillId="13" borderId="4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41" xfId="0" applyFont="1" applyFill="1" applyBorder="1" applyAlignment="1">
      <alignment/>
    </xf>
    <xf numFmtId="3" fontId="2" fillId="14" borderId="7" xfId="0" applyNumberFormat="1" applyFont="1" applyFill="1" applyBorder="1" applyAlignment="1">
      <alignment horizontal="center" vertical="center"/>
    </xf>
    <xf numFmtId="3" fontId="2" fillId="7" borderId="7" xfId="0" applyNumberFormat="1" applyFont="1" applyFill="1" applyBorder="1" applyAlignment="1">
      <alignment horizontal="center" vertical="center"/>
    </xf>
    <xf numFmtId="3" fontId="2" fillId="15" borderId="7" xfId="0" applyNumberFormat="1" applyFont="1" applyFill="1" applyBorder="1" applyAlignment="1">
      <alignment horizontal="center" vertical="center"/>
    </xf>
    <xf numFmtId="3" fontId="2" fillId="12" borderId="7" xfId="0" applyNumberFormat="1" applyFont="1" applyFill="1" applyBorder="1" applyAlignment="1">
      <alignment horizontal="center" vertical="center"/>
    </xf>
    <xf numFmtId="3" fontId="2" fillId="8" borderId="7" xfId="0" applyNumberFormat="1" applyFont="1" applyFill="1" applyBorder="1" applyAlignment="1">
      <alignment horizontal="center" vertical="center"/>
    </xf>
    <xf numFmtId="3" fontId="2" fillId="14" borderId="8" xfId="0" applyNumberFormat="1" applyFont="1" applyFill="1" applyBorder="1" applyAlignment="1">
      <alignment horizontal="center" vertical="center"/>
    </xf>
    <xf numFmtId="3" fontId="2" fillId="7" borderId="30" xfId="0" applyNumberFormat="1" applyFont="1" applyFill="1" applyBorder="1" applyAlignment="1">
      <alignment horizontal="center" vertical="center"/>
    </xf>
    <xf numFmtId="3" fontId="2" fillId="8" borderId="8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vertical="center" wrapText="1"/>
    </xf>
    <xf numFmtId="164" fontId="2" fillId="7" borderId="14" xfId="0" applyNumberFormat="1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/>
    </xf>
    <xf numFmtId="164" fontId="2" fillId="8" borderId="44" xfId="0" applyNumberFormat="1" applyFont="1" applyFill="1" applyBorder="1" applyAlignment="1">
      <alignment horizontal="center" vertical="center" wrapText="1"/>
    </xf>
    <xf numFmtId="164" fontId="2" fillId="8" borderId="45" xfId="0" applyNumberFormat="1" applyFont="1" applyFill="1" applyBorder="1" applyAlignment="1">
      <alignment horizontal="center" vertical="center" wrapText="1"/>
    </xf>
    <xf numFmtId="3" fontId="2" fillId="8" borderId="45" xfId="0" applyNumberFormat="1" applyFont="1" applyFill="1" applyBorder="1" applyAlignment="1">
      <alignment horizontal="center" vertical="center" wrapText="1"/>
    </xf>
    <xf numFmtId="164" fontId="2" fillId="8" borderId="40" xfId="0" applyNumberFormat="1" applyFont="1" applyFill="1" applyBorder="1" applyAlignment="1">
      <alignment horizontal="center" vertical="center"/>
    </xf>
    <xf numFmtId="0" fontId="2" fillId="16" borderId="38" xfId="0" applyFont="1" applyFill="1" applyBorder="1" applyAlignment="1">
      <alignment horizontal="center" vertical="center"/>
    </xf>
    <xf numFmtId="0" fontId="2" fillId="16" borderId="25" xfId="0" applyFont="1" applyFill="1" applyBorder="1" applyAlignment="1">
      <alignment horizontal="center" vertical="center"/>
    </xf>
    <xf numFmtId="0" fontId="2" fillId="16" borderId="33" xfId="0" applyFont="1" applyFill="1" applyBorder="1" applyAlignment="1">
      <alignment horizontal="center" vertical="center"/>
    </xf>
    <xf numFmtId="3" fontId="2" fillId="16" borderId="30" xfId="0" applyNumberFormat="1" applyFont="1" applyFill="1" applyBorder="1" applyAlignment="1">
      <alignment horizontal="center" vertical="center"/>
    </xf>
    <xf numFmtId="3" fontId="2" fillId="16" borderId="7" xfId="0" applyNumberFormat="1" applyFont="1" applyFill="1" applyBorder="1" applyAlignment="1">
      <alignment horizontal="center" vertical="center"/>
    </xf>
    <xf numFmtId="3" fontId="2" fillId="16" borderId="19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centerContinuous" vertical="center"/>
    </xf>
    <xf numFmtId="3" fontId="1" fillId="0" borderId="30" xfId="0" applyNumberFormat="1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1" fillId="0" borderId="30" xfId="0" applyFont="1" applyFill="1" applyBorder="1" applyAlignment="1">
      <alignment horizontal="centerContinuous" vertical="center"/>
    </xf>
    <xf numFmtId="0" fontId="1" fillId="0" borderId="46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3" fontId="1" fillId="0" borderId="7" xfId="0" applyNumberFormat="1" applyFont="1" applyFill="1" applyBorder="1" applyAlignment="1">
      <alignment horizontal="right"/>
    </xf>
    <xf numFmtId="3" fontId="2" fillId="7" borderId="7" xfId="0" applyNumberFormat="1" applyFont="1" applyFill="1" applyBorder="1" applyAlignment="1">
      <alignment horizontal="right" wrapText="1"/>
    </xf>
    <xf numFmtId="3" fontId="2" fillId="13" borderId="5" xfId="0" applyNumberFormat="1" applyFont="1" applyFill="1" applyBorder="1" applyAlignment="1">
      <alignment horizontal="center" vertical="center"/>
    </xf>
    <xf numFmtId="3" fontId="2" fillId="8" borderId="30" xfId="0" applyNumberFormat="1" applyFont="1" applyFill="1" applyBorder="1" applyAlignment="1">
      <alignment horizontal="center" vertical="center"/>
    </xf>
    <xf numFmtId="3" fontId="2" fillId="8" borderId="46" xfId="0" applyNumberFormat="1" applyFont="1" applyFill="1" applyBorder="1" applyAlignment="1">
      <alignment horizontal="center" vertical="center"/>
    </xf>
    <xf numFmtId="3" fontId="2" fillId="13" borderId="8" xfId="0" applyNumberFormat="1" applyFont="1" applyFill="1" applyBorder="1" applyAlignment="1">
      <alignment horizontal="center" vertical="center"/>
    </xf>
    <xf numFmtId="3" fontId="2" fillId="17" borderId="7" xfId="0" applyNumberFormat="1" applyFont="1" applyFill="1" applyBorder="1" applyAlignment="1">
      <alignment/>
    </xf>
    <xf numFmtId="3" fontId="2" fillId="17" borderId="8" xfId="0" applyNumberFormat="1" applyFont="1" applyFill="1" applyBorder="1" applyAlignment="1">
      <alignment/>
    </xf>
    <xf numFmtId="0" fontId="2" fillId="17" borderId="36" xfId="0" applyFont="1" applyFill="1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0" fontId="2" fillId="17" borderId="47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Continuous" vertical="center"/>
    </xf>
    <xf numFmtId="0" fontId="2" fillId="8" borderId="24" xfId="0" applyFont="1" applyFill="1" applyBorder="1" applyAlignment="1">
      <alignment horizontal="centerContinuous" vertical="center"/>
    </xf>
    <xf numFmtId="0" fontId="2" fillId="8" borderId="28" xfId="0" applyFont="1" applyFill="1" applyBorder="1" applyAlignment="1">
      <alignment horizontal="centerContinuous" vertical="center"/>
    </xf>
    <xf numFmtId="0" fontId="2" fillId="9" borderId="21" xfId="0" applyFont="1" applyFill="1" applyBorder="1" applyAlignment="1">
      <alignment/>
    </xf>
    <xf numFmtId="164" fontId="2" fillId="17" borderId="40" xfId="0" applyNumberFormat="1" applyFont="1" applyFill="1" applyBorder="1" applyAlignment="1">
      <alignment horizontal="center" vertical="center"/>
    </xf>
    <xf numFmtId="3" fontId="2" fillId="17" borderId="30" xfId="0" applyNumberFormat="1" applyFont="1" applyFill="1" applyBorder="1" applyAlignment="1">
      <alignment/>
    </xf>
    <xf numFmtId="3" fontId="2" fillId="17" borderId="46" xfId="0" applyNumberFormat="1" applyFont="1" applyFill="1" applyBorder="1" applyAlignment="1">
      <alignment/>
    </xf>
    <xf numFmtId="3" fontId="2" fillId="7" borderId="49" xfId="0" applyNumberFormat="1" applyFont="1" applyFill="1" applyBorder="1" applyAlignment="1">
      <alignment/>
    </xf>
    <xf numFmtId="164" fontId="2" fillId="16" borderId="40" xfId="0" applyNumberFormat="1" applyFont="1" applyFill="1" applyBorder="1" applyAlignment="1">
      <alignment horizontal="center" vertical="center"/>
    </xf>
    <xf numFmtId="3" fontId="2" fillId="16" borderId="46" xfId="0" applyNumberFormat="1" applyFont="1" applyFill="1" applyBorder="1" applyAlignment="1">
      <alignment horizontal="center" vertical="center"/>
    </xf>
    <xf numFmtId="3" fontId="2" fillId="13" borderId="30" xfId="0" applyNumberFormat="1" applyFont="1" applyFill="1" applyBorder="1" applyAlignment="1">
      <alignment horizontal="center" vertical="center"/>
    </xf>
    <xf numFmtId="3" fontId="2" fillId="13" borderId="46" xfId="0" applyNumberFormat="1" applyFont="1" applyFill="1" applyBorder="1" applyAlignment="1">
      <alignment horizontal="center" vertical="center"/>
    </xf>
    <xf numFmtId="0" fontId="2" fillId="9" borderId="22" xfId="0" applyFont="1" applyFill="1" applyBorder="1" applyAlignment="1">
      <alignment/>
    </xf>
    <xf numFmtId="164" fontId="2" fillId="17" borderId="14" xfId="0" applyNumberFormat="1" applyFont="1" applyFill="1" applyBorder="1" applyAlignment="1">
      <alignment horizontal="center" vertical="center"/>
    </xf>
    <xf numFmtId="3" fontId="2" fillId="7" borderId="19" xfId="0" applyNumberFormat="1" applyFont="1" applyFill="1" applyBorder="1" applyAlignment="1">
      <alignment/>
    </xf>
    <xf numFmtId="164" fontId="2" fillId="16" borderId="14" xfId="0" applyNumberFormat="1" applyFont="1" applyFill="1" applyBorder="1" applyAlignment="1">
      <alignment horizontal="center" vertical="center"/>
    </xf>
    <xf numFmtId="3" fontId="2" fillId="16" borderId="8" xfId="0" applyNumberFormat="1" applyFont="1" applyFill="1" applyBorder="1" applyAlignment="1">
      <alignment horizontal="center" vertical="center"/>
    </xf>
    <xf numFmtId="3" fontId="2" fillId="13" borderId="7" xfId="0" applyNumberFormat="1" applyFont="1" applyFill="1" applyBorder="1" applyAlignment="1">
      <alignment horizontal="center" vertical="center"/>
    </xf>
    <xf numFmtId="3" fontId="2" fillId="17" borderId="7" xfId="0" applyNumberFormat="1" applyFont="1" applyFill="1" applyBorder="1" applyAlignment="1">
      <alignment horizontal="center" vertical="center"/>
    </xf>
    <xf numFmtId="3" fontId="2" fillId="17" borderId="8" xfId="0" applyNumberFormat="1" applyFont="1" applyFill="1" applyBorder="1" applyAlignment="1">
      <alignment horizontal="center" vertical="center"/>
    </xf>
    <xf numFmtId="0" fontId="2" fillId="9" borderId="32" xfId="0" applyFont="1" applyFill="1" applyBorder="1" applyAlignment="1">
      <alignment/>
    </xf>
    <xf numFmtId="0" fontId="2" fillId="9" borderId="41" xfId="0" applyFont="1" applyFill="1" applyBorder="1" applyAlignment="1">
      <alignment/>
    </xf>
    <xf numFmtId="0" fontId="2" fillId="13" borderId="33" xfId="0" applyFont="1" applyFill="1" applyBorder="1" applyAlignment="1">
      <alignment horizontal="center" vertical="center"/>
    </xf>
    <xf numFmtId="169" fontId="2" fillId="17" borderId="7" xfId="15" applyNumberFormat="1" applyFont="1" applyFill="1" applyBorder="1" applyAlignment="1">
      <alignment/>
    </xf>
    <xf numFmtId="0" fontId="2" fillId="9" borderId="19" xfId="0" applyFont="1" applyFill="1" applyBorder="1" applyAlignment="1">
      <alignment/>
    </xf>
    <xf numFmtId="169" fontId="2" fillId="7" borderId="7" xfId="15" applyNumberFormat="1" applyFont="1" applyFill="1" applyBorder="1" applyAlignment="1">
      <alignment/>
    </xf>
    <xf numFmtId="3" fontId="2" fillId="16" borderId="5" xfId="0" applyNumberFormat="1" applyFont="1" applyFill="1" applyBorder="1" applyAlignment="1">
      <alignment horizontal="center" vertical="center"/>
    </xf>
    <xf numFmtId="3" fontId="2" fillId="13" borderId="49" xfId="0" applyNumberFormat="1" applyFont="1" applyFill="1" applyBorder="1" applyAlignment="1">
      <alignment horizontal="center" vertical="center"/>
    </xf>
    <xf numFmtId="3" fontId="2" fillId="13" borderId="19" xfId="0" applyNumberFormat="1" applyFont="1" applyFill="1" applyBorder="1" applyAlignment="1">
      <alignment horizontal="center" vertical="center"/>
    </xf>
    <xf numFmtId="164" fontId="2" fillId="8" borderId="7" xfId="0" applyNumberFormat="1" applyFont="1" applyFill="1" applyBorder="1" applyAlignment="1">
      <alignment horizontal="center" vertical="center"/>
    </xf>
    <xf numFmtId="164" fontId="2" fillId="8" borderId="40" xfId="0" applyNumberFormat="1" applyFont="1" applyFill="1" applyBorder="1" applyAlignment="1">
      <alignment horizontal="center" vertical="center" wrapText="1"/>
    </xf>
    <xf numFmtId="164" fontId="2" fillId="8" borderId="30" xfId="0" applyNumberFormat="1" applyFont="1" applyFill="1" applyBorder="1" applyAlignment="1">
      <alignment horizontal="center" vertical="center" wrapText="1"/>
    </xf>
    <xf numFmtId="3" fontId="2" fillId="8" borderId="30" xfId="0" applyNumberFormat="1" applyFont="1" applyFill="1" applyBorder="1" applyAlignment="1">
      <alignment horizontal="center" vertical="center" wrapText="1"/>
    </xf>
    <xf numFmtId="3" fontId="2" fillId="8" borderId="46" xfId="0" applyNumberFormat="1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 vertical="center"/>
    </xf>
    <xf numFmtId="0" fontId="2" fillId="13" borderId="50" xfId="0" applyFont="1" applyFill="1" applyBorder="1" applyAlignment="1">
      <alignment horizontal="center" vertical="center"/>
    </xf>
    <xf numFmtId="0" fontId="2" fillId="17" borderId="24" xfId="0" applyFont="1" applyFill="1" applyBorder="1" applyAlignment="1">
      <alignment horizontal="center" vertical="center"/>
    </xf>
    <xf numFmtId="0" fontId="2" fillId="17" borderId="5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3" fontId="2" fillId="18" borderId="7" xfId="0" applyNumberFormat="1" applyFont="1" applyFill="1" applyBorder="1" applyAlignment="1">
      <alignment horizontal="center" vertical="center"/>
    </xf>
    <xf numFmtId="3" fontId="2" fillId="18" borderId="8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13" borderId="48" xfId="0" applyFont="1" applyFill="1" applyBorder="1" applyAlignment="1">
      <alignment horizontal="center" vertical="center" wrapText="1"/>
    </xf>
    <xf numFmtId="0" fontId="2" fillId="17" borderId="48" xfId="0" applyFont="1" applyFill="1" applyBorder="1" applyAlignment="1">
      <alignment horizontal="center" vertical="center" wrapText="1"/>
    </xf>
    <xf numFmtId="0" fontId="2" fillId="18" borderId="48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vertical="center"/>
    </xf>
    <xf numFmtId="0" fontId="2" fillId="18" borderId="28" xfId="0" applyFont="1" applyFill="1" applyBorder="1" applyAlignment="1">
      <alignment horizontal="center" vertical="center"/>
    </xf>
    <xf numFmtId="3" fontId="2" fillId="18" borderId="5" xfId="0" applyNumberFormat="1" applyFont="1" applyFill="1" applyBorder="1" applyAlignment="1">
      <alignment horizontal="center" vertical="center"/>
    </xf>
    <xf numFmtId="169" fontId="2" fillId="13" borderId="7" xfId="15" applyNumberFormat="1" applyFont="1" applyFill="1" applyBorder="1" applyAlignment="1">
      <alignment horizontal="center"/>
    </xf>
    <xf numFmtId="0" fontId="2" fillId="17" borderId="45" xfId="0" applyFont="1" applyFill="1" applyBorder="1" applyAlignment="1">
      <alignment horizontal="center" vertical="center"/>
    </xf>
    <xf numFmtId="0" fontId="2" fillId="13" borderId="44" xfId="0" applyFont="1" applyFill="1" applyBorder="1" applyAlignment="1">
      <alignment horizontal="center" vertical="center"/>
    </xf>
    <xf numFmtId="0" fontId="2" fillId="13" borderId="51" xfId="0" applyFont="1" applyFill="1" applyBorder="1" applyAlignment="1">
      <alignment horizontal="center" vertical="center"/>
    </xf>
    <xf numFmtId="0" fontId="2" fillId="13" borderId="45" xfId="0" applyFont="1" applyFill="1" applyBorder="1" applyAlignment="1">
      <alignment horizontal="center" vertical="center"/>
    </xf>
    <xf numFmtId="0" fontId="2" fillId="13" borderId="52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3" fontId="2" fillId="8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2" fillId="17" borderId="7" xfId="0" applyNumberFormat="1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6" borderId="43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2" fillId="1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8" borderId="40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vertical="center"/>
    </xf>
    <xf numFmtId="0" fontId="3" fillId="5" borderId="54" xfId="0" applyFont="1" applyFill="1" applyBorder="1" applyAlignment="1">
      <alignment vertical="center"/>
    </xf>
    <xf numFmtId="169" fontId="2" fillId="17" borderId="7" xfId="15" applyNumberFormat="1" applyFont="1" applyFill="1" applyBorder="1" applyAlignment="1">
      <alignment horizontal="right" vertical="center" wrapText="1"/>
    </xf>
    <xf numFmtId="169" fontId="2" fillId="7" borderId="7" xfId="15" applyNumberFormat="1" applyFont="1" applyFill="1" applyBorder="1" applyAlignment="1">
      <alignment horizontal="right" vertical="center" wrapText="1"/>
    </xf>
    <xf numFmtId="169" fontId="2" fillId="13" borderId="7" xfId="15" applyNumberFormat="1" applyFont="1" applyFill="1" applyBorder="1" applyAlignment="1">
      <alignment horizontal="center" vertical="center" wrapText="1"/>
    </xf>
    <xf numFmtId="3" fontId="2" fillId="8" borderId="46" xfId="0" applyNumberFormat="1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16" borderId="51" xfId="0" applyFont="1" applyFill="1" applyBorder="1" applyAlignment="1">
      <alignment horizontal="center" vertical="center"/>
    </xf>
    <xf numFmtId="0" fontId="2" fillId="16" borderId="45" xfId="0" applyFont="1" applyFill="1" applyBorder="1" applyAlignment="1">
      <alignment horizontal="center" vertical="center"/>
    </xf>
    <xf numFmtId="0" fontId="2" fillId="16" borderId="52" xfId="0" applyFont="1" applyFill="1" applyBorder="1" applyAlignment="1">
      <alignment horizontal="center" vertical="center"/>
    </xf>
    <xf numFmtId="0" fontId="2" fillId="13" borderId="55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" fillId="0" borderId="56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5" borderId="43" xfId="0" applyFill="1" applyBorder="1" applyAlignment="1">
      <alignment vertical="center"/>
    </xf>
    <xf numFmtId="3" fontId="2" fillId="17" borderId="7" xfId="0" applyNumberFormat="1" applyFont="1" applyFill="1" applyBorder="1" applyAlignment="1">
      <alignment horizontal="right" wrapText="1"/>
    </xf>
    <xf numFmtId="3" fontId="2" fillId="17" borderId="8" xfId="0" applyNumberFormat="1" applyFont="1" applyFill="1" applyBorder="1" applyAlignment="1">
      <alignment/>
    </xf>
    <xf numFmtId="0" fontId="2" fillId="17" borderId="30" xfId="0" applyFont="1" applyFill="1" applyBorder="1" applyAlignment="1">
      <alignment horizontal="center" vertical="center"/>
    </xf>
    <xf numFmtId="0" fontId="2" fillId="17" borderId="46" xfId="0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wrapText="1"/>
    </xf>
    <xf numFmtId="0" fontId="2" fillId="8" borderId="57" xfId="0" applyFont="1" applyFill="1" applyBorder="1" applyAlignment="1">
      <alignment horizontal="center" vertical="center" wrapText="1"/>
    </xf>
    <xf numFmtId="0" fontId="2" fillId="17" borderId="4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3" fontId="2" fillId="0" borderId="5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2" fillId="17" borderId="4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2" fillId="19" borderId="58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0" fontId="2" fillId="19" borderId="50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3" fontId="2" fillId="13" borderId="7" xfId="0" applyNumberFormat="1" applyFont="1" applyFill="1" applyBorder="1" applyAlignment="1">
      <alignment horizontal="right" wrapText="1"/>
    </xf>
    <xf numFmtId="3" fontId="2" fillId="13" borderId="7" xfId="0" applyNumberFormat="1" applyFont="1" applyFill="1" applyBorder="1" applyAlignment="1">
      <alignment horizontal="right" vertical="center"/>
    </xf>
    <xf numFmtId="3" fontId="2" fillId="13" borderId="7" xfId="0" applyNumberFormat="1" applyFont="1" applyFill="1" applyBorder="1" applyAlignment="1">
      <alignment horizontal="right" vertical="center" wrapText="1"/>
    </xf>
    <xf numFmtId="0" fontId="0" fillId="5" borderId="2" xfId="0" applyFill="1" applyBorder="1" applyAlignment="1">
      <alignment vertical="center"/>
    </xf>
    <xf numFmtId="0" fontId="2" fillId="16" borderId="3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33" xfId="0" applyFont="1" applyFill="1" applyBorder="1" applyAlignment="1">
      <alignment horizontal="centerContinuous" vertical="center"/>
    </xf>
    <xf numFmtId="0" fontId="2" fillId="14" borderId="48" xfId="0" applyFont="1" applyFill="1" applyBorder="1" applyAlignment="1">
      <alignment horizontal="center" vertical="center"/>
    </xf>
    <xf numFmtId="0" fontId="2" fillId="14" borderId="24" xfId="0" applyFont="1" applyFill="1" applyBorder="1" applyAlignment="1">
      <alignment horizontal="center" vertical="center"/>
    </xf>
    <xf numFmtId="0" fontId="2" fillId="14" borderId="24" xfId="0" applyFont="1" applyFill="1" applyBorder="1" applyAlignment="1">
      <alignment horizontal="center" vertical="center"/>
    </xf>
    <xf numFmtId="0" fontId="2" fillId="14" borderId="28" xfId="0" applyFont="1" applyFill="1" applyBorder="1" applyAlignment="1">
      <alignment horizontal="center" vertical="center"/>
    </xf>
    <xf numFmtId="3" fontId="2" fillId="12" borderId="8" xfId="0" applyNumberFormat="1" applyFont="1" applyFill="1" applyBorder="1" applyAlignment="1">
      <alignment horizontal="center" vertical="center"/>
    </xf>
    <xf numFmtId="3" fontId="2" fillId="7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15" borderId="8" xfId="0" applyNumberFormat="1" applyFont="1" applyFill="1" applyBorder="1" applyAlignment="1">
      <alignment horizontal="center" vertical="center"/>
    </xf>
    <xf numFmtId="3" fontId="2" fillId="17" borderId="7" xfId="0" applyNumberFormat="1" applyFont="1" applyFill="1" applyBorder="1" applyAlignment="1">
      <alignment horizontal="right" vertical="center" wrapText="1"/>
    </xf>
    <xf numFmtId="3" fontId="2" fillId="7" borderId="7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17" borderId="14" xfId="0" applyNumberFormat="1" applyFont="1" applyFill="1" applyBorder="1" applyAlignment="1">
      <alignment horizontal="center" vertical="center" wrapText="1"/>
    </xf>
    <xf numFmtId="164" fontId="2" fillId="13" borderId="14" xfId="0" applyNumberFormat="1" applyFont="1" applyFill="1" applyBorder="1" applyAlignment="1">
      <alignment horizontal="center" vertical="center" wrapText="1"/>
    </xf>
    <xf numFmtId="3" fontId="2" fillId="13" borderId="8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/>
    </xf>
    <xf numFmtId="164" fontId="2" fillId="17" borderId="14" xfId="0" applyNumberFormat="1" applyFont="1" applyFill="1" applyBorder="1" applyAlignment="1">
      <alignment horizontal="center" wrapText="1"/>
    </xf>
    <xf numFmtId="3" fontId="2" fillId="17" borderId="8" xfId="0" applyNumberFormat="1" applyFont="1" applyFill="1" applyBorder="1" applyAlignment="1">
      <alignment horizontal="right"/>
    </xf>
    <xf numFmtId="0" fontId="2" fillId="13" borderId="40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/>
    </xf>
    <xf numFmtId="0" fontId="2" fillId="13" borderId="46" xfId="0" applyFont="1" applyFill="1" applyBorder="1" applyAlignment="1">
      <alignment horizontal="center" vertical="center"/>
    </xf>
    <xf numFmtId="3" fontId="2" fillId="13" borderId="8" xfId="0" applyNumberFormat="1" applyFont="1" applyFill="1" applyBorder="1" applyAlignment="1">
      <alignment horizontal="right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164" fontId="2" fillId="5" borderId="14" xfId="0" applyNumberFormat="1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3" fontId="2" fillId="7" borderId="8" xfId="0" applyNumberFormat="1" applyFont="1" applyFill="1" applyBorder="1" applyAlignment="1">
      <alignment horizontal="right" wrapText="1"/>
    </xf>
    <xf numFmtId="0" fontId="2" fillId="8" borderId="30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center" vertical="center"/>
    </xf>
    <xf numFmtId="164" fontId="2" fillId="18" borderId="14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2" fillId="0" borderId="60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/>
    </xf>
    <xf numFmtId="3" fontId="2" fillId="0" borderId="45" xfId="0" applyNumberFormat="1" applyFont="1" applyFill="1" applyBorder="1" applyAlignment="1">
      <alignment horizontal="center" vertical="center"/>
    </xf>
    <xf numFmtId="3" fontId="2" fillId="7" borderId="9" xfId="0" applyNumberFormat="1" applyFont="1" applyFill="1" applyBorder="1" applyAlignment="1">
      <alignment horizontal="right" vertical="center" wrapText="1"/>
    </xf>
    <xf numFmtId="0" fontId="0" fillId="6" borderId="2" xfId="0" applyFill="1" applyBorder="1" applyAlignment="1">
      <alignment vertical="center"/>
    </xf>
    <xf numFmtId="3" fontId="2" fillId="17" borderId="9" xfId="0" applyNumberFormat="1" applyFont="1" applyFill="1" applyBorder="1" applyAlignment="1">
      <alignment horizontal="right" vertical="center" wrapText="1"/>
    </xf>
    <xf numFmtId="0" fontId="2" fillId="6" borderId="24" xfId="0" applyFont="1" applyFill="1" applyBorder="1" applyAlignment="1">
      <alignment horizontal="center" vertical="center" wrapText="1"/>
    </xf>
    <xf numFmtId="164" fontId="2" fillId="6" borderId="14" xfId="0" applyNumberFormat="1" applyFont="1" applyFill="1" applyBorder="1" applyAlignment="1">
      <alignment horizontal="center" vertical="center" wrapText="1"/>
    </xf>
    <xf numFmtId="164" fontId="2" fillId="6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4" fontId="2" fillId="4" borderId="7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16" borderId="56" xfId="0" applyNumberFormat="1" applyFont="1" applyFill="1" applyBorder="1" applyAlignment="1">
      <alignment horizontal="center" vertical="center"/>
    </xf>
    <xf numFmtId="3" fontId="2" fillId="16" borderId="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164" fontId="2" fillId="7" borderId="62" xfId="0" applyNumberFormat="1" applyFont="1" applyFill="1" applyBorder="1" applyAlignment="1">
      <alignment horizontal="center" vertical="center"/>
    </xf>
    <xf numFmtId="164" fontId="2" fillId="8" borderId="62" xfId="0" applyNumberFormat="1" applyFont="1" applyFill="1" applyBorder="1" applyAlignment="1">
      <alignment horizontal="center" vertical="center"/>
    </xf>
    <xf numFmtId="0" fontId="3" fillId="8" borderId="42" xfId="0" applyFont="1" applyFill="1" applyBorder="1" applyAlignment="1">
      <alignment/>
    </xf>
    <xf numFmtId="0" fontId="3" fillId="8" borderId="26" xfId="0" applyFont="1" applyFill="1" applyBorder="1" applyAlignment="1">
      <alignment horizontal="center"/>
    </xf>
    <xf numFmtId="0" fontId="3" fillId="8" borderId="26" xfId="0" applyFont="1" applyFill="1" applyBorder="1" applyAlignment="1">
      <alignment/>
    </xf>
    <xf numFmtId="0" fontId="3" fillId="8" borderId="27" xfId="0" applyFont="1" applyFill="1" applyBorder="1" applyAlignment="1">
      <alignment/>
    </xf>
    <xf numFmtId="164" fontId="2" fillId="8" borderId="40" xfId="0" applyNumberFormat="1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/>
    </xf>
    <xf numFmtId="0" fontId="2" fillId="10" borderId="63" xfId="0" applyFont="1" applyFill="1" applyBorder="1" applyAlignment="1">
      <alignment/>
    </xf>
    <xf numFmtId="164" fontId="2" fillId="8" borderId="62" xfId="0" applyNumberFormat="1" applyFont="1" applyFill="1" applyBorder="1" applyAlignment="1">
      <alignment horizontal="center"/>
    </xf>
    <xf numFmtId="3" fontId="2" fillId="8" borderId="64" xfId="0" applyNumberFormat="1" applyFont="1" applyFill="1" applyBorder="1" applyAlignment="1">
      <alignment horizontal="center"/>
    </xf>
    <xf numFmtId="3" fontId="2" fillId="8" borderId="65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164" fontId="2" fillId="3" borderId="66" xfId="0" applyNumberFormat="1" applyFont="1" applyFill="1" applyBorder="1" applyAlignment="1">
      <alignment horizontal="center"/>
    </xf>
    <xf numFmtId="3" fontId="2" fillId="3" borderId="64" xfId="0" applyNumberFormat="1" applyFont="1" applyFill="1" applyBorder="1" applyAlignment="1">
      <alignment horizontal="center"/>
    </xf>
    <xf numFmtId="3" fontId="2" fillId="3" borderId="67" xfId="0" applyNumberFormat="1" applyFont="1" applyFill="1" applyBorder="1" applyAlignment="1">
      <alignment horizontal="center"/>
    </xf>
    <xf numFmtId="0" fontId="2" fillId="9" borderId="63" xfId="0" applyFont="1" applyFill="1" applyBorder="1" applyAlignment="1">
      <alignment/>
    </xf>
    <xf numFmtId="164" fontId="2" fillId="17" borderId="62" xfId="0" applyNumberFormat="1" applyFont="1" applyFill="1" applyBorder="1" applyAlignment="1">
      <alignment horizontal="center" wrapText="1"/>
    </xf>
    <xf numFmtId="3" fontId="2" fillId="17" borderId="64" xfId="0" applyNumberFormat="1" applyFont="1" applyFill="1" applyBorder="1" applyAlignment="1">
      <alignment horizontal="right" wrapText="1"/>
    </xf>
    <xf numFmtId="3" fontId="2" fillId="17" borderId="65" xfId="0" applyNumberFormat="1" applyFont="1" applyFill="1" applyBorder="1" applyAlignment="1">
      <alignment horizontal="right"/>
    </xf>
    <xf numFmtId="3" fontId="2" fillId="13" borderId="64" xfId="0" applyNumberFormat="1" applyFont="1" applyFill="1" applyBorder="1" applyAlignment="1">
      <alignment horizontal="right" wrapText="1"/>
    </xf>
    <xf numFmtId="3" fontId="2" fillId="13" borderId="65" xfId="0" applyNumberFormat="1" applyFont="1" applyFill="1" applyBorder="1" applyAlignment="1">
      <alignment horizontal="right" wrapText="1"/>
    </xf>
    <xf numFmtId="164" fontId="2" fillId="5" borderId="62" xfId="0" applyNumberFormat="1" applyFont="1" applyFill="1" applyBorder="1" applyAlignment="1">
      <alignment horizontal="center" vertical="center"/>
    </xf>
    <xf numFmtId="3" fontId="2" fillId="5" borderId="64" xfId="0" applyNumberFormat="1" applyFont="1" applyFill="1" applyBorder="1" applyAlignment="1">
      <alignment horizontal="center" vertical="center"/>
    </xf>
    <xf numFmtId="3" fontId="2" fillId="7" borderId="64" xfId="0" applyNumberFormat="1" applyFont="1" applyFill="1" applyBorder="1" applyAlignment="1">
      <alignment horizontal="right" wrapText="1"/>
    </xf>
    <xf numFmtId="3" fontId="2" fillId="7" borderId="65" xfId="0" applyNumberFormat="1" applyFont="1" applyFill="1" applyBorder="1" applyAlignment="1">
      <alignment horizontal="right" wrapText="1"/>
    </xf>
    <xf numFmtId="0" fontId="2" fillId="0" borderId="31" xfId="0" applyFont="1" applyFill="1" applyBorder="1" applyAlignment="1">
      <alignment/>
    </xf>
    <xf numFmtId="164" fontId="2" fillId="0" borderId="40" xfId="0" applyNumberFormat="1" applyFont="1" applyFill="1" applyBorder="1" applyAlignment="1">
      <alignment horizontal="center" wrapText="1"/>
    </xf>
    <xf numFmtId="0" fontId="2" fillId="9" borderId="67" xfId="0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2" fillId="20" borderId="25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3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14" borderId="30" xfId="0" applyNumberFormat="1" applyFont="1" applyFill="1" applyBorder="1" applyAlignment="1">
      <alignment horizontal="center" vertical="center"/>
    </xf>
    <xf numFmtId="3" fontId="2" fillId="14" borderId="46" xfId="0" applyNumberFormat="1" applyFont="1" applyFill="1" applyBorder="1" applyAlignment="1">
      <alignment horizontal="center" vertical="center"/>
    </xf>
    <xf numFmtId="3" fontId="2" fillId="15" borderId="30" xfId="0" applyNumberFormat="1" applyFont="1" applyFill="1" applyBorder="1" applyAlignment="1">
      <alignment horizontal="center" vertical="center"/>
    </xf>
    <xf numFmtId="3" fontId="2" fillId="15" borderId="46" xfId="0" applyNumberFormat="1" applyFont="1" applyFill="1" applyBorder="1" applyAlignment="1">
      <alignment horizontal="center" vertical="center"/>
    </xf>
    <xf numFmtId="3" fontId="2" fillId="12" borderId="30" xfId="0" applyNumberFormat="1" applyFont="1" applyFill="1" applyBorder="1" applyAlignment="1">
      <alignment horizontal="center" vertical="center"/>
    </xf>
    <xf numFmtId="3" fontId="2" fillId="12" borderId="46" xfId="0" applyNumberFormat="1" applyFont="1" applyFill="1" applyBorder="1" applyAlignment="1">
      <alignment horizontal="center" vertical="center"/>
    </xf>
    <xf numFmtId="3" fontId="2" fillId="8" borderId="30" xfId="0" applyNumberFormat="1" applyFont="1" applyFill="1" applyBorder="1" applyAlignment="1">
      <alignment horizontal="center" vertical="center"/>
    </xf>
    <xf numFmtId="3" fontId="2" fillId="8" borderId="46" xfId="0" applyNumberFormat="1" applyFont="1" applyFill="1" applyBorder="1" applyAlignment="1">
      <alignment horizontal="center" vertical="center"/>
    </xf>
    <xf numFmtId="3" fontId="2" fillId="14" borderId="9" xfId="0" applyNumberFormat="1" applyFont="1" applyFill="1" applyBorder="1" applyAlignment="1">
      <alignment horizontal="center" vertical="center"/>
    </xf>
    <xf numFmtId="3" fontId="2" fillId="14" borderId="10" xfId="0" applyNumberFormat="1" applyFont="1" applyFill="1" applyBorder="1" applyAlignment="1">
      <alignment horizontal="center" vertical="center"/>
    </xf>
    <xf numFmtId="3" fontId="2" fillId="7" borderId="9" xfId="0" applyNumberFormat="1" applyFont="1" applyFill="1" applyBorder="1" applyAlignment="1">
      <alignment horizontal="center" vertical="center"/>
    </xf>
    <xf numFmtId="3" fontId="2" fillId="7" borderId="20" xfId="0" applyNumberFormat="1" applyFont="1" applyFill="1" applyBorder="1" applyAlignment="1">
      <alignment horizontal="center" vertical="center"/>
    </xf>
    <xf numFmtId="3" fontId="2" fillId="15" borderId="9" xfId="0" applyNumberFormat="1" applyFont="1" applyFill="1" applyBorder="1" applyAlignment="1">
      <alignment horizontal="center" vertical="center"/>
    </xf>
    <xf numFmtId="3" fontId="2" fillId="15" borderId="10" xfId="0" applyNumberFormat="1" applyFont="1" applyFill="1" applyBorder="1" applyAlignment="1">
      <alignment horizontal="center" vertical="center"/>
    </xf>
    <xf numFmtId="3" fontId="2" fillId="12" borderId="9" xfId="0" applyNumberFormat="1" applyFont="1" applyFill="1" applyBorder="1" applyAlignment="1">
      <alignment horizontal="center" vertical="center"/>
    </xf>
    <xf numFmtId="3" fontId="2" fillId="12" borderId="10" xfId="0" applyNumberFormat="1" applyFon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horizontal="center" vertical="center"/>
    </xf>
    <xf numFmtId="3" fontId="2" fillId="8" borderId="10" xfId="0" applyNumberFormat="1" applyFont="1" applyFill="1" applyBorder="1" applyAlignment="1">
      <alignment horizontal="center" vertical="center"/>
    </xf>
    <xf numFmtId="164" fontId="2" fillId="17" borderId="62" xfId="0" applyNumberFormat="1" applyFont="1" applyFill="1" applyBorder="1" applyAlignment="1">
      <alignment horizontal="center" vertical="center"/>
    </xf>
    <xf numFmtId="3" fontId="2" fillId="7" borderId="64" xfId="0" applyNumberFormat="1" applyFont="1" applyFill="1" applyBorder="1" applyAlignment="1">
      <alignment horizontal="center" vertical="center" wrapText="1"/>
    </xf>
    <xf numFmtId="164" fontId="2" fillId="16" borderId="62" xfId="0" applyNumberFormat="1" applyFont="1" applyFill="1" applyBorder="1" applyAlignment="1">
      <alignment horizontal="center" vertical="center"/>
    </xf>
    <xf numFmtId="3" fontId="2" fillId="16" borderId="64" xfId="0" applyNumberFormat="1" applyFont="1" applyFill="1" applyBorder="1" applyAlignment="1">
      <alignment horizontal="center" vertical="center"/>
    </xf>
    <xf numFmtId="164" fontId="2" fillId="13" borderId="62" xfId="0" applyNumberFormat="1" applyFont="1" applyFill="1" applyBorder="1" applyAlignment="1">
      <alignment horizontal="center" vertical="center"/>
    </xf>
    <xf numFmtId="3" fontId="2" fillId="8" borderId="26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3" fontId="2" fillId="6" borderId="30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0" fontId="2" fillId="17" borderId="25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21" borderId="40" xfId="0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/>
    </xf>
    <xf numFmtId="0" fontId="2" fillId="21" borderId="46" xfId="0" applyFont="1" applyFill="1" applyBorder="1" applyAlignment="1">
      <alignment horizontal="center" vertical="center"/>
    </xf>
    <xf numFmtId="3" fontId="2" fillId="21" borderId="7" xfId="0" applyNumberFormat="1" applyFont="1" applyFill="1" applyBorder="1" applyAlignment="1">
      <alignment horizontal="center"/>
    </xf>
    <xf numFmtId="3" fontId="2" fillId="21" borderId="8" xfId="0" applyNumberFormat="1" applyFont="1" applyFill="1" applyBorder="1" applyAlignment="1">
      <alignment horizontal="center"/>
    </xf>
    <xf numFmtId="3" fontId="2" fillId="21" borderId="64" xfId="0" applyNumberFormat="1" applyFont="1" applyFill="1" applyBorder="1" applyAlignment="1">
      <alignment horizontal="center"/>
    </xf>
    <xf numFmtId="3" fontId="2" fillId="21" borderId="65" xfId="0" applyNumberFormat="1" applyFont="1" applyFill="1" applyBorder="1" applyAlignment="1">
      <alignment horizontal="center"/>
    </xf>
    <xf numFmtId="0" fontId="2" fillId="22" borderId="25" xfId="0" applyFont="1" applyFill="1" applyBorder="1" applyAlignment="1">
      <alignment horizontal="center" vertical="center"/>
    </xf>
    <xf numFmtId="0" fontId="2" fillId="22" borderId="33" xfId="0" applyFont="1" applyFill="1" applyBorder="1" applyAlignment="1">
      <alignment horizontal="center" vertical="center"/>
    </xf>
    <xf numFmtId="3" fontId="2" fillId="17" borderId="7" xfId="0" applyNumberFormat="1" applyFont="1" applyFill="1" applyBorder="1" applyAlignment="1">
      <alignment horizontal="right" vertical="center"/>
    </xf>
    <xf numFmtId="164" fontId="2" fillId="14" borderId="14" xfId="0" applyNumberFormat="1" applyFont="1" applyFill="1" applyBorder="1" applyAlignment="1">
      <alignment horizontal="right" wrapText="1"/>
    </xf>
    <xf numFmtId="3" fontId="2" fillId="14" borderId="7" xfId="0" applyNumberFormat="1" applyFont="1" applyFill="1" applyBorder="1" applyAlignment="1">
      <alignment horizontal="right" vertical="center" wrapText="1"/>
    </xf>
    <xf numFmtId="3" fontId="2" fillId="14" borderId="7" xfId="0" applyNumberFormat="1" applyFont="1" applyFill="1" applyBorder="1" applyAlignment="1">
      <alignment horizontal="right" wrapText="1"/>
    </xf>
    <xf numFmtId="3" fontId="2" fillId="17" borderId="30" xfId="0" applyNumberFormat="1" applyFont="1" applyFill="1" applyBorder="1" applyAlignment="1">
      <alignment horizontal="center" vertical="center"/>
    </xf>
    <xf numFmtId="3" fontId="2" fillId="17" borderId="46" xfId="0" applyNumberFormat="1" applyFont="1" applyFill="1" applyBorder="1" applyAlignment="1">
      <alignment horizontal="center" vertical="center"/>
    </xf>
    <xf numFmtId="0" fontId="2" fillId="14" borderId="40" xfId="0" applyFont="1" applyFill="1" applyBorder="1" applyAlignment="1">
      <alignment horizontal="center" vertical="center"/>
    </xf>
    <xf numFmtId="0" fontId="2" fillId="14" borderId="30" xfId="0" applyFont="1" applyFill="1" applyBorder="1" applyAlignment="1">
      <alignment horizontal="center" vertical="center"/>
    </xf>
    <xf numFmtId="0" fontId="2" fillId="14" borderId="46" xfId="0" applyFont="1" applyFill="1" applyBorder="1" applyAlignment="1">
      <alignment horizontal="center" vertical="center"/>
    </xf>
    <xf numFmtId="3" fontId="2" fillId="14" borderId="7" xfId="0" applyNumberFormat="1" applyFont="1" applyFill="1" applyBorder="1" applyAlignment="1">
      <alignment/>
    </xf>
    <xf numFmtId="3" fontId="2" fillId="14" borderId="7" xfId="0" applyNumberFormat="1" applyFont="1" applyFill="1" applyBorder="1" applyAlignment="1">
      <alignment/>
    </xf>
    <xf numFmtId="3" fontId="2" fillId="14" borderId="8" xfId="0" applyNumberFormat="1" applyFont="1" applyFill="1" applyBorder="1" applyAlignment="1">
      <alignment/>
    </xf>
    <xf numFmtId="3" fontId="2" fillId="19" borderId="7" xfId="0" applyNumberFormat="1" applyFont="1" applyFill="1" applyBorder="1" applyAlignment="1">
      <alignment horizontal="right" vertical="center" wrapText="1"/>
    </xf>
    <xf numFmtId="0" fontId="2" fillId="0" borderId="48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horizontal="centerContinuous" vertical="center"/>
    </xf>
    <xf numFmtId="164" fontId="2" fillId="7" borderId="56" xfId="0" applyNumberFormat="1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9" borderId="68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164" fontId="2" fillId="22" borderId="14" xfId="0" applyNumberFormat="1" applyFont="1" applyFill="1" applyBorder="1" applyAlignment="1">
      <alignment horizontal="center" vertical="center" wrapText="1"/>
    </xf>
    <xf numFmtId="164" fontId="2" fillId="22" borderId="7" xfId="0" applyNumberFormat="1" applyFont="1" applyFill="1" applyBorder="1" applyAlignment="1">
      <alignment horizontal="center" vertical="center" wrapText="1"/>
    </xf>
    <xf numFmtId="3" fontId="2" fillId="22" borderId="7" xfId="0" applyNumberFormat="1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164" fontId="2" fillId="4" borderId="30" xfId="0" applyNumberFormat="1" applyFont="1" applyFill="1" applyBorder="1" applyAlignment="1">
      <alignment horizontal="center" vertical="center" wrapText="1"/>
    </xf>
    <xf numFmtId="3" fontId="2" fillId="4" borderId="30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164" fontId="2" fillId="12" borderId="56" xfId="0" applyNumberFormat="1" applyFont="1" applyFill="1" applyBorder="1" applyAlignment="1">
      <alignment horizontal="center" vertical="center"/>
    </xf>
    <xf numFmtId="164" fontId="2" fillId="13" borderId="56" xfId="0" applyNumberFormat="1" applyFont="1" applyFill="1" applyBorder="1" applyAlignment="1">
      <alignment horizontal="center" vertical="center"/>
    </xf>
    <xf numFmtId="164" fontId="2" fillId="18" borderId="40" xfId="0" applyNumberFormat="1" applyFont="1" applyFill="1" applyBorder="1" applyAlignment="1">
      <alignment horizontal="center" vertical="center"/>
    </xf>
    <xf numFmtId="3" fontId="2" fillId="18" borderId="30" xfId="0" applyNumberFormat="1" applyFont="1" applyFill="1" applyBorder="1" applyAlignment="1">
      <alignment horizontal="center" vertical="center"/>
    </xf>
    <xf numFmtId="164" fontId="2" fillId="18" borderId="56" xfId="0" applyNumberFormat="1" applyFont="1" applyFill="1" applyBorder="1" applyAlignment="1">
      <alignment horizontal="center" vertical="center"/>
    </xf>
    <xf numFmtId="3" fontId="2" fillId="18" borderId="9" xfId="0" applyNumberFormat="1" applyFont="1" applyFill="1" applyBorder="1" applyAlignment="1">
      <alignment horizontal="center" vertical="center"/>
    </xf>
    <xf numFmtId="164" fontId="2" fillId="8" borderId="56" xfId="0" applyNumberFormat="1" applyFont="1" applyFill="1" applyBorder="1" applyAlignment="1">
      <alignment horizontal="center" vertical="center"/>
    </xf>
    <xf numFmtId="0" fontId="2" fillId="23" borderId="35" xfId="0" applyFont="1" applyFill="1" applyBorder="1" applyAlignment="1">
      <alignment horizontal="center" vertical="center"/>
    </xf>
    <xf numFmtId="0" fontId="2" fillId="23" borderId="25" xfId="0" applyFont="1" applyFill="1" applyBorder="1" applyAlignment="1">
      <alignment horizontal="center" vertical="center"/>
    </xf>
    <xf numFmtId="0" fontId="2" fillId="23" borderId="33" xfId="0" applyFont="1" applyFill="1" applyBorder="1" applyAlignment="1">
      <alignment horizontal="center" vertical="center"/>
    </xf>
    <xf numFmtId="3" fontId="2" fillId="23" borderId="30" xfId="0" applyNumberFormat="1" applyFont="1" applyFill="1" applyBorder="1" applyAlignment="1">
      <alignment horizontal="center" vertical="center"/>
    </xf>
    <xf numFmtId="164" fontId="2" fillId="23" borderId="14" xfId="0" applyNumberFormat="1" applyFont="1" applyFill="1" applyBorder="1" applyAlignment="1">
      <alignment horizontal="center" vertical="center"/>
    </xf>
    <xf numFmtId="3" fontId="2" fillId="23" borderId="7" xfId="0" applyNumberFormat="1" applyFont="1" applyFill="1" applyBorder="1" applyAlignment="1">
      <alignment horizontal="center" vertical="center"/>
    </xf>
    <xf numFmtId="3" fontId="2" fillId="23" borderId="46" xfId="0" applyNumberFormat="1" applyFont="1" applyFill="1" applyBorder="1" applyAlignment="1">
      <alignment horizontal="center" vertical="center"/>
    </xf>
    <xf numFmtId="3" fontId="2" fillId="23" borderId="8" xfId="0" applyNumberFormat="1" applyFont="1" applyFill="1" applyBorder="1" applyAlignment="1">
      <alignment horizontal="center" vertical="center"/>
    </xf>
    <xf numFmtId="3" fontId="2" fillId="0" borderId="64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6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9" borderId="11" xfId="0" applyFont="1" applyFill="1" applyBorder="1" applyAlignment="1">
      <alignment vertical="center"/>
    </xf>
    <xf numFmtId="3" fontId="2" fillId="12" borderId="30" xfId="0" applyNumberFormat="1" applyFont="1" applyFill="1" applyBorder="1" applyAlignment="1">
      <alignment vertical="center"/>
    </xf>
    <xf numFmtId="3" fontId="2" fillId="7" borderId="30" xfId="0" applyNumberFormat="1" applyFont="1" applyFill="1" applyBorder="1" applyAlignment="1">
      <alignment vertical="center"/>
    </xf>
    <xf numFmtId="3" fontId="2" fillId="13" borderId="30" xfId="0" applyNumberFormat="1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3" fontId="2" fillId="12" borderId="7" xfId="0" applyNumberFormat="1" applyFont="1" applyFill="1" applyBorder="1" applyAlignment="1">
      <alignment vertical="center"/>
    </xf>
    <xf numFmtId="3" fontId="2" fillId="7" borderId="7" xfId="0" applyNumberFormat="1" applyFont="1" applyFill="1" applyBorder="1" applyAlignment="1">
      <alignment vertical="center"/>
    </xf>
    <xf numFmtId="3" fontId="2" fillId="13" borderId="7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2" fillId="7" borderId="0" xfId="0" applyNumberFormat="1" applyFont="1" applyFill="1" applyBorder="1" applyAlignment="1">
      <alignment vertical="center"/>
    </xf>
    <xf numFmtId="3" fontId="2" fillId="7" borderId="9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3" fontId="2" fillId="7" borderId="9" xfId="0" applyNumberFormat="1" applyFont="1" applyFill="1" applyBorder="1" applyAlignment="1">
      <alignment horizontal="right" vertical="center" wrapText="1"/>
    </xf>
    <xf numFmtId="3" fontId="2" fillId="13" borderId="30" xfId="0" applyNumberFormat="1" applyFont="1" applyFill="1" applyBorder="1" applyAlignment="1">
      <alignment horizontal="right" vertical="center" wrapText="1"/>
    </xf>
    <xf numFmtId="0" fontId="2" fillId="17" borderId="5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 wrapText="1"/>
    </xf>
    <xf numFmtId="3" fontId="2" fillId="13" borderId="9" xfId="0" applyNumberFormat="1" applyFont="1" applyFill="1" applyBorder="1" applyAlignment="1">
      <alignment horizontal="right" vertical="center"/>
    </xf>
    <xf numFmtId="0" fontId="2" fillId="17" borderId="35" xfId="0" applyFont="1" applyFill="1" applyBorder="1" applyAlignment="1">
      <alignment horizontal="center" vertical="center" wrapText="1"/>
    </xf>
    <xf numFmtId="3" fontId="2" fillId="8" borderId="64" xfId="0" applyNumberFormat="1" applyFont="1" applyFill="1" applyBorder="1" applyAlignment="1">
      <alignment horizontal="center" vertical="center"/>
    </xf>
    <xf numFmtId="3" fontId="2" fillId="8" borderId="65" xfId="0" applyNumberFormat="1" applyFont="1" applyFill="1" applyBorder="1" applyAlignment="1">
      <alignment horizontal="center" vertical="center"/>
    </xf>
    <xf numFmtId="169" fontId="2" fillId="17" borderId="30" xfId="15" applyNumberFormat="1" applyFont="1" applyFill="1" applyBorder="1" applyAlignment="1">
      <alignment/>
    </xf>
    <xf numFmtId="164" fontId="2" fillId="0" borderId="44" xfId="0" applyNumberFormat="1" applyFont="1" applyFill="1" applyBorder="1" applyAlignment="1">
      <alignment horizontal="center" vertical="center"/>
    </xf>
    <xf numFmtId="169" fontId="2" fillId="13" borderId="30" xfId="15" applyNumberFormat="1" applyFont="1" applyFill="1" applyBorder="1" applyAlignment="1">
      <alignment horizontal="center"/>
    </xf>
    <xf numFmtId="164" fontId="2" fillId="17" borderId="56" xfId="0" applyNumberFormat="1" applyFont="1" applyFill="1" applyBorder="1" applyAlignment="1">
      <alignment horizontal="center" vertical="center"/>
    </xf>
    <xf numFmtId="3" fontId="2" fillId="7" borderId="9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 vertical="center"/>
    </xf>
    <xf numFmtId="164" fontId="2" fillId="14" borderId="15" xfId="0" applyNumberFormat="1" applyFont="1" applyFill="1" applyBorder="1" applyAlignment="1">
      <alignment horizontal="right" wrapText="1"/>
    </xf>
    <xf numFmtId="3" fontId="2" fillId="14" borderId="5" xfId="0" applyNumberFormat="1" applyFont="1" applyFill="1" applyBorder="1" applyAlignment="1">
      <alignment horizontal="right" wrapText="1"/>
    </xf>
    <xf numFmtId="3" fontId="2" fillId="14" borderId="5" xfId="0" applyNumberFormat="1" applyFont="1" applyFill="1" applyBorder="1" applyAlignment="1">
      <alignment/>
    </xf>
    <xf numFmtId="3" fontId="2" fillId="14" borderId="5" xfId="0" applyNumberFormat="1" applyFont="1" applyFill="1" applyBorder="1" applyAlignment="1">
      <alignment/>
    </xf>
    <xf numFmtId="0" fontId="2" fillId="14" borderId="35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/>
    </xf>
    <xf numFmtId="0" fontId="2" fillId="14" borderId="33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 wrapText="1"/>
    </xf>
    <xf numFmtId="0" fontId="2" fillId="12" borderId="37" xfId="0" applyFont="1" applyFill="1" applyBorder="1" applyAlignment="1">
      <alignment horizontal="center" vertical="center" wrapText="1"/>
    </xf>
    <xf numFmtId="0" fontId="2" fillId="12" borderId="47" xfId="0" applyFont="1" applyFill="1" applyBorder="1" applyAlignment="1">
      <alignment horizontal="center" vertical="center" wrapText="1"/>
    </xf>
    <xf numFmtId="0" fontId="2" fillId="16" borderId="38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16" borderId="33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center" vertical="center" wrapText="1"/>
    </xf>
    <xf numFmtId="0" fontId="2" fillId="13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14" borderId="48" xfId="0" applyFont="1" applyFill="1" applyBorder="1" applyAlignment="1">
      <alignment horizontal="center" vertical="center"/>
    </xf>
    <xf numFmtId="3" fontId="2" fillId="14" borderId="6" xfId="0" applyNumberFormat="1" applyFont="1" applyFill="1" applyBorder="1" applyAlignment="1">
      <alignment/>
    </xf>
    <xf numFmtId="164" fontId="2" fillId="0" borderId="44" xfId="0" applyNumberFormat="1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24" borderId="5" xfId="0" applyNumberFormat="1" applyFont="1" applyFill="1" applyBorder="1" applyAlignment="1">
      <alignment horizontal="center" vertical="center" wrapText="1"/>
    </xf>
    <xf numFmtId="3" fontId="2" fillId="24" borderId="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8" borderId="15" xfId="0" applyFont="1" applyFill="1" applyBorder="1" applyAlignment="1">
      <alignment/>
    </xf>
    <xf numFmtId="0" fontId="3" fillId="8" borderId="5" xfId="0" applyFont="1" applyFill="1" applyBorder="1" applyAlignment="1">
      <alignment/>
    </xf>
    <xf numFmtId="0" fontId="3" fillId="8" borderId="6" xfId="0" applyFont="1" applyFill="1" applyBorder="1" applyAlignment="1">
      <alignment/>
    </xf>
    <xf numFmtId="0" fontId="3" fillId="3" borderId="69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0" fontId="2" fillId="6" borderId="6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0" fontId="2" fillId="17" borderId="38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3" fontId="2" fillId="24" borderId="2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3" fontId="1" fillId="0" borderId="69" xfId="0" applyNumberFormat="1" applyFont="1" applyFill="1" applyBorder="1" applyAlignment="1">
      <alignment horizontal="right" vertical="center"/>
    </xf>
    <xf numFmtId="3" fontId="2" fillId="7" borderId="5" xfId="0" applyNumberFormat="1" applyFont="1" applyFill="1" applyBorder="1" applyAlignment="1">
      <alignment horizontal="right" vertical="center" wrapText="1"/>
    </xf>
    <xf numFmtId="3" fontId="2" fillId="13" borderId="46" xfId="0" applyNumberFormat="1" applyFont="1" applyFill="1" applyBorder="1" applyAlignment="1">
      <alignment vertical="center"/>
    </xf>
    <xf numFmtId="3" fontId="2" fillId="13" borderId="8" xfId="0" applyNumberFormat="1" applyFont="1" applyFill="1" applyBorder="1" applyAlignment="1">
      <alignment vertical="center"/>
    </xf>
    <xf numFmtId="0" fontId="2" fillId="18" borderId="58" xfId="0" applyFont="1" applyFill="1" applyBorder="1" applyAlignment="1">
      <alignment horizontal="center" vertical="center"/>
    </xf>
    <xf numFmtId="169" fontId="1" fillId="0" borderId="0" xfId="15" applyNumberFormat="1" applyFont="1" applyAlignment="1">
      <alignment/>
    </xf>
    <xf numFmtId="0" fontId="2" fillId="25" borderId="25" xfId="0" applyFont="1" applyFill="1" applyBorder="1" applyAlignment="1">
      <alignment horizontal="center" vertical="center"/>
    </xf>
    <xf numFmtId="3" fontId="2" fillId="24" borderId="30" xfId="0" applyNumberFormat="1" applyFont="1" applyFill="1" applyBorder="1" applyAlignment="1">
      <alignment horizontal="center" vertical="center"/>
    </xf>
    <xf numFmtId="3" fontId="2" fillId="24" borderId="7" xfId="0" applyNumberFormat="1" applyFont="1" applyFill="1" applyBorder="1" applyAlignment="1">
      <alignment horizontal="center" vertical="center"/>
    </xf>
    <xf numFmtId="3" fontId="2" fillId="24" borderId="9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1" fillId="0" borderId="4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59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3" fontId="1" fillId="0" borderId="6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vertical="center"/>
    </xf>
    <xf numFmtId="164" fontId="1" fillId="0" borderId="0" xfId="22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2" fillId="0" borderId="6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64" fontId="2" fillId="0" borderId="6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 horizontal="center" vertical="center"/>
    </xf>
    <xf numFmtId="3" fontId="6" fillId="8" borderId="30" xfId="0" applyNumberFormat="1" applyFont="1" applyFill="1" applyBorder="1" applyAlignment="1">
      <alignment horizontal="center" vertical="center"/>
    </xf>
    <xf numFmtId="3" fontId="6" fillId="11" borderId="7" xfId="0" applyNumberFormat="1" applyFont="1" applyFill="1" applyBorder="1" applyAlignment="1">
      <alignment horizontal="center" vertical="center"/>
    </xf>
    <xf numFmtId="3" fontId="2" fillId="11" borderId="7" xfId="0" applyNumberFormat="1" applyFont="1" applyFill="1" applyBorder="1" applyAlignment="1">
      <alignment horizontal="center" vertical="center"/>
    </xf>
    <xf numFmtId="3" fontId="6" fillId="6" borderId="7" xfId="0" applyNumberFormat="1" applyFont="1" applyFill="1" applyBorder="1" applyAlignment="1">
      <alignment horizontal="center" vertical="center"/>
    </xf>
    <xf numFmtId="3" fontId="2" fillId="7" borderId="19" xfId="0" applyNumberFormat="1" applyFont="1" applyFill="1" applyBorder="1" applyAlignment="1">
      <alignment horizontal="center" vertical="center"/>
    </xf>
    <xf numFmtId="3" fontId="6" fillId="8" borderId="7" xfId="0" applyNumberFormat="1" applyFont="1" applyFill="1" applyBorder="1" applyAlignment="1">
      <alignment horizontal="center" vertical="center"/>
    </xf>
    <xf numFmtId="3" fontId="6" fillId="7" borderId="7" xfId="0" applyNumberFormat="1" applyFont="1" applyFill="1" applyBorder="1" applyAlignment="1">
      <alignment horizontal="center" vertical="center"/>
    </xf>
    <xf numFmtId="169" fontId="6" fillId="8" borderId="7" xfId="15" applyNumberFormat="1" applyFont="1" applyFill="1" applyBorder="1" applyAlignment="1">
      <alignment horizontal="center" vertical="center"/>
    </xf>
    <xf numFmtId="169" fontId="6" fillId="11" borderId="7" xfId="15" applyNumberFormat="1" applyFont="1" applyFill="1" applyBorder="1" applyAlignment="1">
      <alignment horizontal="center" vertical="center"/>
    </xf>
    <xf numFmtId="169" fontId="6" fillId="7" borderId="7" xfId="15" applyNumberFormat="1" applyFont="1" applyFill="1" applyBorder="1" applyAlignment="1">
      <alignment horizontal="center" vertical="center"/>
    </xf>
    <xf numFmtId="3" fontId="2" fillId="7" borderId="64" xfId="0" applyNumberFormat="1" applyFont="1" applyFill="1" applyBorder="1" applyAlignment="1">
      <alignment horizontal="center" vertical="center"/>
    </xf>
    <xf numFmtId="3" fontId="2" fillId="8" borderId="20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2" fillId="13" borderId="7" xfId="0" applyNumberFormat="1" applyFont="1" applyFill="1" applyBorder="1" applyAlignment="1">
      <alignment vertical="center" wrapText="1"/>
    </xf>
    <xf numFmtId="164" fontId="2" fillId="17" borderId="40" xfId="0" applyNumberFormat="1" applyFont="1" applyFill="1" applyBorder="1" applyAlignment="1">
      <alignment horizontal="center" vertical="center" wrapText="1"/>
    </xf>
    <xf numFmtId="3" fontId="2" fillId="17" borderId="30" xfId="0" applyNumberFormat="1" applyFont="1" applyFill="1" applyBorder="1" applyAlignment="1">
      <alignment horizontal="center" vertical="center" wrapText="1"/>
    </xf>
    <xf numFmtId="164" fontId="2" fillId="7" borderId="40" xfId="0" applyNumberFormat="1" applyFont="1" applyFill="1" applyBorder="1" applyAlignment="1">
      <alignment horizontal="center" vertical="center" wrapText="1"/>
    </xf>
    <xf numFmtId="169" fontId="2" fillId="13" borderId="7" xfId="15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/>
    </xf>
    <xf numFmtId="37" fontId="2" fillId="8" borderId="7" xfId="0" applyNumberFormat="1" applyFont="1" applyFill="1" applyBorder="1" applyAlignment="1" applyProtection="1">
      <alignment vertical="center"/>
      <protection/>
    </xf>
    <xf numFmtId="37" fontId="2" fillId="4" borderId="7" xfId="0" applyNumberFormat="1" applyFont="1" applyFill="1" applyBorder="1" applyAlignment="1" applyProtection="1">
      <alignment vertical="center"/>
      <protection/>
    </xf>
    <xf numFmtId="37" fontId="2" fillId="7" borderId="7" xfId="0" applyNumberFormat="1" applyFont="1" applyFill="1" applyBorder="1" applyAlignment="1" applyProtection="1">
      <alignment horizontal="center" vertical="center"/>
      <protection locked="0"/>
    </xf>
    <xf numFmtId="169" fontId="2" fillId="8" borderId="30" xfId="15" applyNumberFormat="1" applyFont="1" applyFill="1" applyBorder="1" applyAlignment="1">
      <alignment horizontal="center" vertical="center"/>
    </xf>
    <xf numFmtId="169" fontId="2" fillId="8" borderId="46" xfId="15" applyNumberFormat="1" applyFont="1" applyFill="1" applyBorder="1" applyAlignment="1">
      <alignment horizontal="center" vertical="center"/>
    </xf>
    <xf numFmtId="169" fontId="2" fillId="8" borderId="7" xfId="15" applyNumberFormat="1" applyFont="1" applyFill="1" applyBorder="1" applyAlignment="1">
      <alignment horizontal="center" vertical="center"/>
    </xf>
    <xf numFmtId="169" fontId="2" fillId="8" borderId="8" xfId="15" applyNumberFormat="1" applyFont="1" applyFill="1" applyBorder="1" applyAlignment="1">
      <alignment horizontal="center" vertical="center"/>
    </xf>
    <xf numFmtId="169" fontId="2" fillId="8" borderId="9" xfId="15" applyNumberFormat="1" applyFont="1" applyFill="1" applyBorder="1" applyAlignment="1">
      <alignment horizontal="center" vertical="center"/>
    </xf>
    <xf numFmtId="169" fontId="2" fillId="8" borderId="10" xfId="15" applyNumberFormat="1" applyFont="1" applyFill="1" applyBorder="1" applyAlignment="1">
      <alignment horizontal="center" vertical="center"/>
    </xf>
    <xf numFmtId="0" fontId="2" fillId="13" borderId="44" xfId="0" applyFont="1" applyFill="1" applyBorder="1" applyAlignment="1">
      <alignment horizontal="center" vertical="center" wrapText="1"/>
    </xf>
    <xf numFmtId="0" fontId="2" fillId="17" borderId="25" xfId="0" applyFont="1" applyFill="1" applyBorder="1" applyAlignment="1">
      <alignment horizontal="center" vertical="center" wrapText="1"/>
    </xf>
    <xf numFmtId="0" fontId="2" fillId="17" borderId="39" xfId="0" applyFont="1" applyFill="1" applyBorder="1" applyAlignment="1">
      <alignment horizontal="center" vertical="center"/>
    </xf>
    <xf numFmtId="0" fontId="2" fillId="9" borderId="61" xfId="0" applyFont="1" applyFill="1" applyBorder="1" applyAlignment="1">
      <alignment vertical="center"/>
    </xf>
    <xf numFmtId="169" fontId="2" fillId="17" borderId="30" xfId="15" applyNumberFormat="1" applyFont="1" applyFill="1" applyBorder="1" applyAlignment="1">
      <alignment vertical="center"/>
    </xf>
    <xf numFmtId="169" fontId="2" fillId="17" borderId="30" xfId="15" applyNumberFormat="1" applyFont="1" applyFill="1" applyBorder="1" applyAlignment="1">
      <alignment horizontal="right" vertical="center" wrapText="1"/>
    </xf>
    <xf numFmtId="169" fontId="2" fillId="17" borderId="49" xfId="15" applyNumberFormat="1" applyFont="1" applyFill="1" applyBorder="1" applyAlignment="1">
      <alignment vertical="center"/>
    </xf>
    <xf numFmtId="169" fontId="2" fillId="7" borderId="30" xfId="15" applyNumberFormat="1" applyFont="1" applyFill="1" applyBorder="1" applyAlignment="1">
      <alignment vertical="center"/>
    </xf>
    <xf numFmtId="169" fontId="2" fillId="7" borderId="30" xfId="15" applyNumberFormat="1" applyFont="1" applyFill="1" applyBorder="1" applyAlignment="1">
      <alignment horizontal="right" vertical="center" wrapText="1"/>
    </xf>
    <xf numFmtId="169" fontId="2" fillId="7" borderId="46" xfId="15" applyNumberFormat="1" applyFont="1" applyFill="1" applyBorder="1" applyAlignment="1">
      <alignment vertical="center"/>
    </xf>
    <xf numFmtId="169" fontId="2" fillId="17" borderId="7" xfId="15" applyNumberFormat="1" applyFont="1" applyFill="1" applyBorder="1" applyAlignment="1">
      <alignment vertical="center"/>
    </xf>
    <xf numFmtId="169" fontId="2" fillId="17" borderId="19" xfId="15" applyNumberFormat="1" applyFont="1" applyFill="1" applyBorder="1" applyAlignment="1">
      <alignment vertical="center"/>
    </xf>
    <xf numFmtId="169" fontId="2" fillId="7" borderId="7" xfId="15" applyNumberFormat="1" applyFont="1" applyFill="1" applyBorder="1" applyAlignment="1">
      <alignment vertical="center"/>
    </xf>
    <xf numFmtId="169" fontId="2" fillId="7" borderId="8" xfId="15" applyNumberFormat="1" applyFont="1" applyFill="1" applyBorder="1" applyAlignment="1">
      <alignment vertical="center"/>
    </xf>
    <xf numFmtId="169" fontId="2" fillId="0" borderId="5" xfId="15" applyNumberFormat="1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 wrapText="1"/>
    </xf>
    <xf numFmtId="169" fontId="2" fillId="17" borderId="9" xfId="15" applyNumberFormat="1" applyFont="1" applyFill="1" applyBorder="1" applyAlignment="1">
      <alignment vertical="center"/>
    </xf>
    <xf numFmtId="169" fontId="2" fillId="7" borderId="9" xfId="15" applyNumberFormat="1" applyFont="1" applyFill="1" applyBorder="1" applyAlignment="1">
      <alignment vertical="center"/>
    </xf>
    <xf numFmtId="169" fontId="2" fillId="7" borderId="10" xfId="15" applyNumberFormat="1" applyFont="1" applyFill="1" applyBorder="1" applyAlignment="1">
      <alignment vertical="center"/>
    </xf>
    <xf numFmtId="169" fontId="2" fillId="17" borderId="20" xfId="15" applyNumberFormat="1" applyFont="1" applyFill="1" applyBorder="1" applyAlignment="1">
      <alignment vertical="center"/>
    </xf>
    <xf numFmtId="164" fontId="2" fillId="6" borderId="70" xfId="0" applyNumberFormat="1" applyFont="1" applyFill="1" applyBorder="1" applyAlignment="1">
      <alignment horizontal="center" vertical="center" wrapText="1"/>
    </xf>
    <xf numFmtId="164" fontId="2" fillId="6" borderId="23" xfId="0" applyNumberFormat="1" applyFont="1" applyFill="1" applyBorder="1" applyAlignment="1">
      <alignment horizontal="center" vertical="center" wrapText="1"/>
    </xf>
    <xf numFmtId="3" fontId="2" fillId="6" borderId="4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164" fontId="2" fillId="22" borderId="40" xfId="0" applyNumberFormat="1" applyFont="1" applyFill="1" applyBorder="1" applyAlignment="1">
      <alignment horizontal="center" vertical="center" wrapText="1"/>
    </xf>
    <xf numFmtId="164" fontId="2" fillId="22" borderId="30" xfId="0" applyNumberFormat="1" applyFont="1" applyFill="1" applyBorder="1" applyAlignment="1">
      <alignment horizontal="center" vertical="center" wrapText="1"/>
    </xf>
    <xf numFmtId="3" fontId="2" fillId="22" borderId="30" xfId="0" applyNumberFormat="1" applyFont="1" applyFill="1" applyBorder="1" applyAlignment="1">
      <alignment horizontal="center" vertical="center" wrapText="1"/>
    </xf>
    <xf numFmtId="169" fontId="2" fillId="17" borderId="7" xfId="15" applyNumberFormat="1" applyFont="1" applyFill="1" applyBorder="1" applyAlignment="1">
      <alignment horizontal="right" vertical="center"/>
    </xf>
    <xf numFmtId="169" fontId="2" fillId="7" borderId="30" xfId="15" applyNumberFormat="1" applyFont="1" applyFill="1" applyBorder="1" applyAlignment="1">
      <alignment/>
    </xf>
    <xf numFmtId="3" fontId="2" fillId="16" borderId="49" xfId="0" applyNumberFormat="1" applyFont="1" applyFill="1" applyBorder="1" applyAlignment="1">
      <alignment horizontal="center" vertical="center"/>
    </xf>
    <xf numFmtId="3" fontId="2" fillId="16" borderId="20" xfId="0" applyNumberFormat="1" applyFont="1" applyFill="1" applyBorder="1" applyAlignment="1">
      <alignment horizontal="center" vertical="center"/>
    </xf>
    <xf numFmtId="169" fontId="2" fillId="13" borderId="30" xfId="15" applyNumberFormat="1" applyFont="1" applyFill="1" applyBorder="1" applyAlignment="1">
      <alignment horizontal="center" vertical="center" wrapText="1"/>
    </xf>
    <xf numFmtId="169" fontId="2" fillId="13" borderId="30" xfId="15" applyNumberFormat="1" applyFont="1" applyFill="1" applyBorder="1" applyAlignment="1">
      <alignment horizontal="center" vertical="center"/>
    </xf>
    <xf numFmtId="169" fontId="2" fillId="13" borderId="46" xfId="15" applyNumberFormat="1" applyFont="1" applyFill="1" applyBorder="1" applyAlignment="1">
      <alignment horizontal="center" vertical="center"/>
    </xf>
    <xf numFmtId="169" fontId="2" fillId="13" borderId="8" xfId="15" applyNumberFormat="1" applyFont="1" applyFill="1" applyBorder="1" applyAlignment="1">
      <alignment horizontal="center" vertical="center"/>
    </xf>
    <xf numFmtId="169" fontId="2" fillId="13" borderId="9" xfId="15" applyNumberFormat="1" applyFont="1" applyFill="1" applyBorder="1" applyAlignment="1">
      <alignment horizontal="center" vertical="center"/>
    </xf>
    <xf numFmtId="169" fontId="2" fillId="13" borderId="10" xfId="15" applyNumberFormat="1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vertical="center"/>
    </xf>
    <xf numFmtId="3" fontId="2" fillId="18" borderId="30" xfId="0" applyNumberFormat="1" applyFont="1" applyFill="1" applyBorder="1" applyAlignment="1">
      <alignment horizontal="right" vertical="center" wrapText="1"/>
    </xf>
    <xf numFmtId="3" fontId="2" fillId="18" borderId="30" xfId="0" applyNumberFormat="1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vertical="center"/>
    </xf>
    <xf numFmtId="3" fontId="2" fillId="8" borderId="7" xfId="0" applyNumberFormat="1" applyFont="1" applyFill="1" applyBorder="1" applyAlignment="1">
      <alignment horizontal="right" vertical="center" wrapText="1"/>
    </xf>
    <xf numFmtId="3" fontId="2" fillId="8" borderId="7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17" borderId="7" xfId="0" applyNumberFormat="1" applyFont="1" applyFill="1" applyBorder="1" applyAlignment="1">
      <alignment vertical="center"/>
    </xf>
    <xf numFmtId="3" fontId="2" fillId="17" borderId="8" xfId="0" applyNumberFormat="1" applyFont="1" applyFill="1" applyBorder="1" applyAlignment="1">
      <alignment vertical="center"/>
    </xf>
    <xf numFmtId="3" fontId="2" fillId="18" borderId="7" xfId="0" applyNumberFormat="1" applyFont="1" applyFill="1" applyBorder="1" applyAlignment="1">
      <alignment horizontal="center" vertical="center" wrapText="1"/>
    </xf>
    <xf numFmtId="3" fontId="2" fillId="18" borderId="7" xfId="0" applyNumberFormat="1" applyFont="1" applyFill="1" applyBorder="1" applyAlignment="1">
      <alignment horizontal="right" vertical="center" wrapText="1"/>
    </xf>
    <xf numFmtId="3" fontId="2" fillId="18" borderId="7" xfId="0" applyNumberFormat="1" applyFont="1" applyFill="1" applyBorder="1" applyAlignment="1">
      <alignment vertical="center"/>
    </xf>
    <xf numFmtId="169" fontId="2" fillId="18" borderId="7" xfId="15" applyNumberFormat="1" applyFont="1" applyFill="1" applyBorder="1" applyAlignment="1">
      <alignment vertical="center"/>
    </xf>
    <xf numFmtId="169" fontId="2" fillId="17" borderId="7" xfId="15" applyNumberFormat="1" applyFont="1" applyFill="1" applyBorder="1" applyAlignment="1">
      <alignment horizontal="center" vertical="center"/>
    </xf>
    <xf numFmtId="0" fontId="1" fillId="9" borderId="67" xfId="0" applyFont="1" applyFill="1" applyBorder="1" applyAlignment="1">
      <alignment vertical="center"/>
    </xf>
    <xf numFmtId="3" fontId="2" fillId="17" borderId="64" xfId="0" applyNumberFormat="1" applyFont="1" applyFill="1" applyBorder="1" applyAlignment="1">
      <alignment vertical="center"/>
    </xf>
    <xf numFmtId="169" fontId="2" fillId="0" borderId="30" xfId="15" applyNumberFormat="1" applyFont="1" applyFill="1" applyBorder="1" applyAlignment="1">
      <alignment horizontal="center" vertical="center"/>
    </xf>
    <xf numFmtId="169" fontId="2" fillId="0" borderId="9" xfId="15" applyNumberFormat="1" applyFont="1" applyFill="1" applyBorder="1" applyAlignment="1">
      <alignment horizontal="center" vertical="center"/>
    </xf>
    <xf numFmtId="169" fontId="2" fillId="0" borderId="10" xfId="1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9" borderId="21" xfId="0" applyFont="1" applyFill="1" applyBorder="1" applyAlignment="1">
      <alignment vertical="center"/>
    </xf>
    <xf numFmtId="164" fontId="2" fillId="17" borderId="40" xfId="22" applyNumberFormat="1" applyFont="1" applyFill="1" applyBorder="1" applyAlignment="1">
      <alignment horizontal="center" vertical="center"/>
    </xf>
    <xf numFmtId="3" fontId="2" fillId="17" borderId="30" xfId="0" applyNumberFormat="1" applyFont="1" applyFill="1" applyBorder="1" applyAlignment="1">
      <alignment horizontal="right" vertical="center" wrapText="1"/>
    </xf>
    <xf numFmtId="3" fontId="2" fillId="17" borderId="30" xfId="0" applyNumberFormat="1" applyFont="1" applyFill="1" applyBorder="1" applyAlignment="1">
      <alignment vertical="center"/>
    </xf>
    <xf numFmtId="164" fontId="2" fillId="7" borderId="40" xfId="22" applyNumberFormat="1" applyFont="1" applyFill="1" applyBorder="1" applyAlignment="1">
      <alignment horizontal="center" vertical="center"/>
    </xf>
    <xf numFmtId="3" fontId="2" fillId="7" borderId="30" xfId="0" applyNumberFormat="1" applyFont="1" applyFill="1" applyBorder="1" applyAlignment="1">
      <alignment horizontal="right" vertical="center" wrapText="1"/>
    </xf>
    <xf numFmtId="164" fontId="2" fillId="16" borderId="40" xfId="22" applyNumberFormat="1" applyFont="1" applyFill="1" applyBorder="1" applyAlignment="1">
      <alignment horizontal="center" vertical="center"/>
    </xf>
    <xf numFmtId="3" fontId="2" fillId="16" borderId="30" xfId="0" applyNumberFormat="1" applyFont="1" applyFill="1" applyBorder="1" applyAlignment="1">
      <alignment horizontal="right" vertical="center" wrapText="1"/>
    </xf>
    <xf numFmtId="164" fontId="2" fillId="13" borderId="40" xfId="22" applyNumberFormat="1" applyFont="1" applyFill="1" applyBorder="1" applyAlignment="1">
      <alignment horizontal="center" vertical="center"/>
    </xf>
    <xf numFmtId="164" fontId="2" fillId="8" borderId="40" xfId="22" applyNumberFormat="1" applyFont="1" applyFill="1" applyBorder="1" applyAlignment="1">
      <alignment horizontal="center" vertical="center"/>
    </xf>
    <xf numFmtId="3" fontId="2" fillId="14" borderId="30" xfId="0" applyNumberFormat="1" applyFont="1" applyFill="1" applyBorder="1" applyAlignment="1">
      <alignment horizontal="right" vertical="center" wrapText="1"/>
    </xf>
    <xf numFmtId="3" fontId="2" fillId="14" borderId="46" xfId="0" applyNumberFormat="1" applyFont="1" applyFill="1" applyBorder="1" applyAlignment="1">
      <alignment vertical="center"/>
    </xf>
    <xf numFmtId="0" fontId="2" fillId="9" borderId="22" xfId="0" applyFont="1" applyFill="1" applyBorder="1" applyAlignment="1">
      <alignment vertical="center"/>
    </xf>
    <xf numFmtId="164" fontId="2" fillId="17" borderId="14" xfId="22" applyNumberFormat="1" applyFont="1" applyFill="1" applyBorder="1" applyAlignment="1">
      <alignment horizontal="center" vertical="center"/>
    </xf>
    <xf numFmtId="164" fontId="2" fillId="7" borderId="14" xfId="22" applyNumberFormat="1" applyFont="1" applyFill="1" applyBorder="1" applyAlignment="1">
      <alignment horizontal="center" vertical="center"/>
    </xf>
    <xf numFmtId="164" fontId="2" fillId="16" borderId="14" xfId="22" applyNumberFormat="1" applyFont="1" applyFill="1" applyBorder="1" applyAlignment="1">
      <alignment horizontal="center" vertical="center"/>
    </xf>
    <xf numFmtId="3" fontId="2" fillId="16" borderId="7" xfId="0" applyNumberFormat="1" applyFont="1" applyFill="1" applyBorder="1" applyAlignment="1">
      <alignment horizontal="right" vertical="center" wrapText="1"/>
    </xf>
    <xf numFmtId="164" fontId="2" fillId="13" borderId="14" xfId="22" applyNumberFormat="1" applyFont="1" applyFill="1" applyBorder="1" applyAlignment="1">
      <alignment horizontal="center" vertical="center"/>
    </xf>
    <xf numFmtId="164" fontId="2" fillId="8" borderId="14" xfId="22" applyNumberFormat="1" applyFont="1" applyFill="1" applyBorder="1" applyAlignment="1">
      <alignment horizontal="center" vertical="center"/>
    </xf>
    <xf numFmtId="3" fontId="2" fillId="14" borderId="8" xfId="0" applyNumberFormat="1" applyFont="1" applyFill="1" applyBorder="1" applyAlignment="1">
      <alignment vertical="center"/>
    </xf>
    <xf numFmtId="3" fontId="2" fillId="14" borderId="7" xfId="0" applyNumberFormat="1" applyFont="1" applyFill="1" applyBorder="1" applyAlignment="1">
      <alignment vertical="center"/>
    </xf>
    <xf numFmtId="0" fontId="2" fillId="9" borderId="59" xfId="0" applyFont="1" applyFill="1" applyBorder="1" applyAlignment="1">
      <alignment vertical="center"/>
    </xf>
    <xf numFmtId="164" fontId="2" fillId="17" borderId="56" xfId="22" applyNumberFormat="1" applyFont="1" applyFill="1" applyBorder="1" applyAlignment="1">
      <alignment horizontal="center" vertical="center"/>
    </xf>
    <xf numFmtId="3" fontId="2" fillId="17" borderId="9" xfId="0" applyNumberFormat="1" applyFont="1" applyFill="1" applyBorder="1" applyAlignment="1">
      <alignment vertical="center"/>
    </xf>
    <xf numFmtId="164" fontId="2" fillId="7" borderId="56" xfId="22" applyNumberFormat="1" applyFont="1" applyFill="1" applyBorder="1" applyAlignment="1">
      <alignment horizontal="center" vertical="center"/>
    </xf>
    <xf numFmtId="164" fontId="2" fillId="16" borderId="56" xfId="22" applyNumberFormat="1" applyFont="1" applyFill="1" applyBorder="1" applyAlignment="1">
      <alignment horizontal="center" vertical="center"/>
    </xf>
    <xf numFmtId="3" fontId="2" fillId="16" borderId="9" xfId="0" applyNumberFormat="1" applyFont="1" applyFill="1" applyBorder="1" applyAlignment="1">
      <alignment horizontal="right" vertical="center" wrapText="1"/>
    </xf>
    <xf numFmtId="164" fontId="2" fillId="13" borderId="56" xfId="22" applyNumberFormat="1" applyFont="1" applyFill="1" applyBorder="1" applyAlignment="1">
      <alignment horizontal="center" vertical="center"/>
    </xf>
    <xf numFmtId="164" fontId="2" fillId="8" borderId="62" xfId="22" applyNumberFormat="1" applyFont="1" applyFill="1" applyBorder="1" applyAlignment="1">
      <alignment horizontal="center" vertical="center"/>
    </xf>
    <xf numFmtId="3" fontId="2" fillId="14" borderId="9" xfId="0" applyNumberFormat="1" applyFont="1" applyFill="1" applyBorder="1" applyAlignment="1">
      <alignment vertical="center"/>
    </xf>
    <xf numFmtId="3" fontId="2" fillId="14" borderId="10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9" fontId="2" fillId="0" borderId="30" xfId="15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0" borderId="41" xfId="0" applyFont="1" applyFill="1" applyBorder="1" applyAlignment="1">
      <alignment vertical="center"/>
    </xf>
    <xf numFmtId="169" fontId="2" fillId="0" borderId="9" xfId="15" applyNumberFormat="1" applyFont="1" applyFill="1" applyBorder="1" applyAlignment="1">
      <alignment horizontal="center" vertical="center" wrapText="1"/>
    </xf>
    <xf numFmtId="169" fontId="2" fillId="0" borderId="10" xfId="1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3" fontId="2" fillId="17" borderId="46" xfId="0" applyNumberFormat="1" applyFont="1" applyFill="1" applyBorder="1" applyAlignment="1">
      <alignment vertical="center"/>
    </xf>
    <xf numFmtId="0" fontId="2" fillId="9" borderId="13" xfId="0" applyFont="1" applyFill="1" applyBorder="1" applyAlignment="1">
      <alignment vertical="center"/>
    </xf>
    <xf numFmtId="169" fontId="2" fillId="0" borderId="5" xfId="15" applyNumberFormat="1" applyFont="1" applyFill="1" applyBorder="1" applyAlignment="1">
      <alignment horizontal="center" vertical="center" wrapText="1"/>
    </xf>
    <xf numFmtId="43" fontId="1" fillId="0" borderId="0" xfId="15" applyFont="1" applyAlignment="1">
      <alignment vertical="center"/>
    </xf>
    <xf numFmtId="3" fontId="2" fillId="7" borderId="30" xfId="0" applyNumberFormat="1" applyFont="1" applyFill="1" applyBorder="1" applyAlignment="1">
      <alignment horizontal="center" vertical="center"/>
    </xf>
    <xf numFmtId="3" fontId="2" fillId="7" borderId="8" xfId="0" applyNumberFormat="1" applyFont="1" applyFill="1" applyBorder="1" applyAlignment="1">
      <alignment horizontal="center" vertical="center"/>
    </xf>
    <xf numFmtId="3" fontId="2" fillId="7" borderId="9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left" vertical="center"/>
    </xf>
    <xf numFmtId="0" fontId="2" fillId="10" borderId="19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center" vertical="center"/>
    </xf>
    <xf numFmtId="169" fontId="2" fillId="0" borderId="46" xfId="15" applyNumberFormat="1" applyFont="1" applyFill="1" applyBorder="1" applyAlignment="1">
      <alignment horizontal="center" vertical="center"/>
    </xf>
    <xf numFmtId="3" fontId="2" fillId="8" borderId="49" xfId="0" applyNumberFormat="1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 horizontal="center" vertical="center"/>
    </xf>
    <xf numFmtId="164" fontId="2" fillId="17" borderId="40" xfId="0" applyNumberFormat="1" applyFont="1" applyFill="1" applyBorder="1" applyAlignment="1">
      <alignment vertical="center"/>
    </xf>
    <xf numFmtId="3" fontId="2" fillId="7" borderId="46" xfId="0" applyNumberFormat="1" applyFont="1" applyFill="1" applyBorder="1" applyAlignment="1">
      <alignment vertical="center"/>
    </xf>
    <xf numFmtId="164" fontId="2" fillId="17" borderId="14" xfId="0" applyNumberFormat="1" applyFont="1" applyFill="1" applyBorder="1" applyAlignment="1">
      <alignment vertical="center"/>
    </xf>
    <xf numFmtId="3" fontId="2" fillId="7" borderId="8" xfId="0" applyNumberFormat="1" applyFont="1" applyFill="1" applyBorder="1" applyAlignment="1">
      <alignment vertical="center"/>
    </xf>
    <xf numFmtId="3" fontId="2" fillId="7" borderId="10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164" fontId="2" fillId="0" borderId="56" xfId="0" applyNumberFormat="1" applyFont="1" applyFill="1" applyBorder="1" applyAlignment="1">
      <alignment vertical="center"/>
    </xf>
    <xf numFmtId="3" fontId="2" fillId="0" borderId="30" xfId="0" applyNumberFormat="1" applyFont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68" xfId="0" applyFont="1" applyFill="1" applyBorder="1" applyAlignment="1">
      <alignment vertical="center"/>
    </xf>
    <xf numFmtId="0" fontId="2" fillId="0" borderId="6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3" fontId="2" fillId="0" borderId="70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" fontId="2" fillId="17" borderId="19" xfId="0" applyNumberFormat="1" applyFont="1" applyFill="1" applyBorder="1" applyAlignment="1">
      <alignment vertical="center"/>
    </xf>
    <xf numFmtId="3" fontId="2" fillId="13" borderId="0" xfId="0" applyNumberFormat="1" applyFont="1" applyFill="1" applyBorder="1" applyAlignment="1">
      <alignment horizontal="center" vertical="center" wrapText="1"/>
    </xf>
    <xf numFmtId="169" fontId="2" fillId="17" borderId="7" xfId="15" applyNumberFormat="1" applyFont="1" applyFill="1" applyBorder="1" applyAlignment="1">
      <alignment horizontal="center" vertical="center" wrapText="1"/>
    </xf>
    <xf numFmtId="169" fontId="2" fillId="7" borderId="7" xfId="15" applyNumberFormat="1" applyFont="1" applyFill="1" applyBorder="1" applyAlignment="1">
      <alignment horizontal="center" vertical="center" wrapText="1"/>
    </xf>
    <xf numFmtId="3" fontId="2" fillId="17" borderId="6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7" fontId="2" fillId="3" borderId="7" xfId="0" applyNumberFormat="1" applyFont="1" applyFill="1" applyBorder="1" applyAlignment="1" applyProtection="1">
      <alignment vertical="center"/>
      <protection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6" borderId="1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37" fontId="2" fillId="24" borderId="7" xfId="0" applyNumberFormat="1" applyFont="1" applyFill="1" applyBorder="1" applyAlignment="1" applyProtection="1">
      <alignment vertical="center"/>
      <protection/>
    </xf>
    <xf numFmtId="3" fontId="2" fillId="24" borderId="5" xfId="0" applyNumberFormat="1" applyFont="1" applyFill="1" applyBorder="1" applyAlignment="1">
      <alignment horizontal="center" vertical="center"/>
    </xf>
    <xf numFmtId="3" fontId="2" fillId="6" borderId="5" xfId="0" applyNumberFormat="1" applyFont="1" applyFill="1" applyBorder="1" applyAlignment="1">
      <alignment horizontal="center" vertical="center"/>
    </xf>
    <xf numFmtId="3" fontId="2" fillId="6" borderId="6" xfId="0" applyNumberFormat="1" applyFont="1" applyFill="1" applyBorder="1" applyAlignment="1">
      <alignment horizontal="center" vertical="center"/>
    </xf>
    <xf numFmtId="37" fontId="2" fillId="7" borderId="30" xfId="0" applyNumberFormat="1" applyFont="1" applyFill="1" applyBorder="1" applyAlignment="1" applyProtection="1">
      <alignment vertical="center"/>
      <protection/>
    </xf>
    <xf numFmtId="3" fontId="2" fillId="7" borderId="5" xfId="0" applyNumberFormat="1" applyFont="1" applyFill="1" applyBorder="1" applyAlignment="1">
      <alignment horizontal="center" vertical="center"/>
    </xf>
    <xf numFmtId="3" fontId="2" fillId="7" borderId="6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3" fontId="2" fillId="6" borderId="7" xfId="0" applyNumberFormat="1" applyFont="1" applyFill="1" applyBorder="1" applyAlignment="1">
      <alignment horizontal="center" vertical="center"/>
    </xf>
    <xf numFmtId="3" fontId="2" fillId="6" borderId="8" xfId="0" applyNumberFormat="1" applyFont="1" applyFill="1" applyBorder="1" applyAlignment="1">
      <alignment horizontal="center" vertical="center"/>
    </xf>
    <xf numFmtId="37" fontId="2" fillId="7" borderId="7" xfId="0" applyNumberFormat="1" applyFont="1" applyFill="1" applyBorder="1" applyAlignment="1" applyProtection="1">
      <alignment vertical="center"/>
      <protection/>
    </xf>
    <xf numFmtId="37" fontId="2" fillId="7" borderId="7" xfId="0" applyNumberFormat="1" applyFont="1" applyFill="1" applyBorder="1" applyAlignment="1" applyProtection="1">
      <alignment vertical="center"/>
      <protection locked="0"/>
    </xf>
    <xf numFmtId="37" fontId="2" fillId="7" borderId="71" xfId="0" applyNumberFormat="1" applyFont="1" applyFill="1" applyBorder="1" applyAlignment="1" applyProtection="1">
      <alignment vertical="center"/>
      <protection locked="0"/>
    </xf>
    <xf numFmtId="3" fontId="6" fillId="24" borderId="7" xfId="0" applyNumberFormat="1" applyFont="1" applyFill="1" applyBorder="1" applyAlignment="1">
      <alignment horizontal="center" vertical="center"/>
    </xf>
    <xf numFmtId="3" fontId="2" fillId="24" borderId="64" xfId="0" applyNumberFormat="1" applyFont="1" applyFill="1" applyBorder="1" applyAlignment="1">
      <alignment horizontal="center" vertical="center"/>
    </xf>
    <xf numFmtId="3" fontId="2" fillId="6" borderId="64" xfId="0" applyNumberFormat="1" applyFont="1" applyFill="1" applyBorder="1" applyAlignment="1">
      <alignment horizontal="center" vertical="center"/>
    </xf>
    <xf numFmtId="3" fontId="2" fillId="6" borderId="65" xfId="0" applyNumberFormat="1" applyFont="1" applyFill="1" applyBorder="1" applyAlignment="1">
      <alignment horizontal="center" vertical="center"/>
    </xf>
    <xf numFmtId="3" fontId="2" fillId="7" borderId="65" xfId="0" applyNumberFormat="1" applyFont="1" applyFill="1" applyBorder="1" applyAlignment="1">
      <alignment horizontal="center" vertical="center"/>
    </xf>
    <xf numFmtId="3" fontId="2" fillId="7" borderId="46" xfId="0" applyNumberFormat="1" applyFont="1" applyFill="1" applyBorder="1" applyAlignment="1">
      <alignment horizontal="right" vertical="center" wrapText="1"/>
    </xf>
    <xf numFmtId="3" fontId="2" fillId="16" borderId="46" xfId="0" applyNumberFormat="1" applyFont="1" applyFill="1" applyBorder="1" applyAlignment="1">
      <alignment horizontal="right" vertical="center" wrapText="1"/>
    </xf>
    <xf numFmtId="3" fontId="2" fillId="7" borderId="8" xfId="0" applyNumberFormat="1" applyFont="1" applyFill="1" applyBorder="1" applyAlignment="1">
      <alignment horizontal="right" vertical="center" wrapText="1"/>
    </xf>
    <xf numFmtId="3" fontId="2" fillId="16" borderId="8" xfId="0" applyNumberFormat="1" applyFont="1" applyFill="1" applyBorder="1" applyAlignment="1">
      <alignment horizontal="right" vertical="center" wrapText="1"/>
    </xf>
    <xf numFmtId="3" fontId="2" fillId="16" borderId="10" xfId="0" applyNumberFormat="1" applyFont="1" applyFill="1" applyBorder="1" applyAlignment="1">
      <alignment horizontal="right" vertical="center" wrapText="1"/>
    </xf>
    <xf numFmtId="164" fontId="2" fillId="8" borderId="56" xfId="22" applyNumberFormat="1" applyFont="1" applyFill="1" applyBorder="1" applyAlignment="1">
      <alignment horizontal="center" vertical="center"/>
    </xf>
    <xf numFmtId="164" fontId="2" fillId="0" borderId="40" xfId="22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56" xfId="22" applyNumberFormat="1" applyFont="1" applyFill="1" applyBorder="1" applyAlignment="1">
      <alignment horizontal="center" vertical="center"/>
    </xf>
    <xf numFmtId="164" fontId="2" fillId="0" borderId="60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169" fontId="2" fillId="7" borderId="9" xfId="15" applyNumberFormat="1" applyFont="1" applyFill="1" applyBorder="1" applyAlignment="1">
      <alignment horizontal="center" vertical="center"/>
    </xf>
    <xf numFmtId="0" fontId="2" fillId="26" borderId="2" xfId="0" applyFont="1" applyFill="1" applyBorder="1" applyAlignment="1">
      <alignment horizontal="center" vertical="center" wrapText="1"/>
    </xf>
    <xf numFmtId="0" fontId="2" fillId="26" borderId="2" xfId="0" applyFont="1" applyFill="1" applyBorder="1" applyAlignment="1">
      <alignment vertical="center"/>
    </xf>
    <xf numFmtId="37" fontId="2" fillId="13" borderId="30" xfId="0" applyNumberFormat="1" applyFont="1" applyFill="1" applyBorder="1" applyAlignment="1">
      <alignment vertical="center"/>
    </xf>
    <xf numFmtId="164" fontId="2" fillId="18" borderId="40" xfId="22" applyNumberFormat="1" applyFont="1" applyFill="1" applyBorder="1" applyAlignment="1">
      <alignment horizontal="center" vertical="center"/>
    </xf>
    <xf numFmtId="37" fontId="2" fillId="17" borderId="7" xfId="0" applyNumberFormat="1" applyFont="1" applyFill="1" applyBorder="1" applyAlignment="1">
      <alignment vertical="center"/>
    </xf>
    <xf numFmtId="37" fontId="2" fillId="13" borderId="7" xfId="0" applyNumberFormat="1" applyFont="1" applyFill="1" applyBorder="1" applyAlignment="1">
      <alignment vertical="center"/>
    </xf>
    <xf numFmtId="164" fontId="2" fillId="18" borderId="14" xfId="22" applyNumberFormat="1" applyFont="1" applyFill="1" applyBorder="1" applyAlignment="1">
      <alignment horizontal="center" vertical="center"/>
    </xf>
    <xf numFmtId="164" fontId="2" fillId="18" borderId="62" xfId="22" applyNumberFormat="1" applyFont="1" applyFill="1" applyBorder="1" applyAlignment="1">
      <alignment horizontal="center" vertical="center"/>
    </xf>
    <xf numFmtId="37" fontId="2" fillId="0" borderId="9" xfId="0" applyNumberFormat="1" applyFont="1" applyFill="1" applyBorder="1" applyAlignment="1">
      <alignment vertical="center"/>
    </xf>
    <xf numFmtId="3" fontId="2" fillId="18" borderId="49" xfId="0" applyNumberFormat="1" applyFont="1" applyFill="1" applyBorder="1" applyAlignment="1">
      <alignment horizontal="center" vertical="center"/>
    </xf>
    <xf numFmtId="3" fontId="2" fillId="18" borderId="19" xfId="0" applyNumberFormat="1" applyFont="1" applyFill="1" applyBorder="1" applyAlignment="1">
      <alignment horizontal="center" vertical="center"/>
    </xf>
    <xf numFmtId="3" fontId="2" fillId="18" borderId="20" xfId="0" applyNumberFormat="1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vertical="center"/>
    </xf>
    <xf numFmtId="0" fontId="2" fillId="9" borderId="67" xfId="0" applyFont="1" applyFill="1" applyBorder="1" applyAlignment="1">
      <alignment vertical="center"/>
    </xf>
    <xf numFmtId="0" fontId="2" fillId="6" borderId="64" xfId="0" applyFont="1" applyFill="1" applyBorder="1" applyAlignment="1">
      <alignment horizontal="center" vertical="center" wrapText="1"/>
    </xf>
    <xf numFmtId="0" fontId="2" fillId="17" borderId="58" xfId="0" applyFont="1" applyFill="1" applyBorder="1" applyAlignment="1">
      <alignment horizontal="center" vertical="center" wrapText="1"/>
    </xf>
    <xf numFmtId="0" fontId="2" fillId="17" borderId="24" xfId="0" applyFont="1" applyFill="1" applyBorder="1" applyAlignment="1">
      <alignment horizontal="center" vertical="center" wrapText="1"/>
    </xf>
    <xf numFmtId="0" fontId="2" fillId="17" borderId="28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vertical="center" wrapText="1"/>
    </xf>
    <xf numFmtId="0" fontId="2" fillId="18" borderId="28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164" fontId="2" fillId="14" borderId="1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2" fillId="10" borderId="73" xfId="0" applyFont="1" applyFill="1" applyBorder="1" applyAlignment="1">
      <alignment horizontal="left" vertical="center"/>
    </xf>
    <xf numFmtId="0" fontId="2" fillId="18" borderId="35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21" borderId="35" xfId="0" applyFont="1" applyFill="1" applyBorder="1" applyAlignment="1">
      <alignment horizontal="center" vertical="center" wrapText="1"/>
    </xf>
    <xf numFmtId="0" fontId="2" fillId="21" borderId="25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3" fontId="2" fillId="7" borderId="8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vertical="center"/>
    </xf>
    <xf numFmtId="0" fontId="2" fillId="18" borderId="33" xfId="0" applyFont="1" applyFill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 wrapText="1"/>
    </xf>
    <xf numFmtId="3" fontId="2" fillId="18" borderId="46" xfId="0" applyNumberFormat="1" applyFont="1" applyFill="1" applyBorder="1" applyAlignment="1">
      <alignment horizontal="center" vertical="center"/>
    </xf>
    <xf numFmtId="0" fontId="2" fillId="21" borderId="33" xfId="0" applyFont="1" applyFill="1" applyBorder="1" applyAlignment="1">
      <alignment horizontal="center" vertical="center" wrapText="1"/>
    </xf>
    <xf numFmtId="0" fontId="2" fillId="14" borderId="3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vertical="center"/>
    </xf>
    <xf numFmtId="169" fontId="2" fillId="21" borderId="30" xfId="15" applyNumberFormat="1" applyFont="1" applyFill="1" applyBorder="1" applyAlignment="1">
      <alignment horizontal="center" vertical="center"/>
    </xf>
    <xf numFmtId="169" fontId="2" fillId="21" borderId="46" xfId="15" applyNumberFormat="1" applyFont="1" applyFill="1" applyBorder="1" applyAlignment="1">
      <alignment horizontal="center" vertical="center"/>
    </xf>
    <xf numFmtId="169" fontId="2" fillId="14" borderId="30" xfId="15" applyNumberFormat="1" applyFont="1" applyFill="1" applyBorder="1" applyAlignment="1">
      <alignment horizontal="center" vertical="center"/>
    </xf>
    <xf numFmtId="169" fontId="2" fillId="14" borderId="46" xfId="15" applyNumberFormat="1" applyFont="1" applyFill="1" applyBorder="1" applyAlignment="1">
      <alignment horizontal="center" vertical="center"/>
    </xf>
    <xf numFmtId="169" fontId="2" fillId="21" borderId="7" xfId="15" applyNumberFormat="1" applyFont="1" applyFill="1" applyBorder="1" applyAlignment="1">
      <alignment horizontal="center" vertical="center"/>
    </xf>
    <xf numFmtId="169" fontId="2" fillId="21" borderId="8" xfId="15" applyNumberFormat="1" applyFont="1" applyFill="1" applyBorder="1" applyAlignment="1">
      <alignment horizontal="center" vertical="center"/>
    </xf>
    <xf numFmtId="169" fontId="2" fillId="14" borderId="7" xfId="15" applyNumberFormat="1" applyFont="1" applyFill="1" applyBorder="1" applyAlignment="1">
      <alignment horizontal="center" vertical="center"/>
    </xf>
    <xf numFmtId="169" fontId="2" fillId="14" borderId="8" xfId="15" applyNumberFormat="1" applyFont="1" applyFill="1" applyBorder="1" applyAlignment="1">
      <alignment horizontal="center" vertical="center"/>
    </xf>
    <xf numFmtId="169" fontId="2" fillId="7" borderId="7" xfId="15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1" fillId="0" borderId="7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18" borderId="9" xfId="0" applyNumberFormat="1" applyFont="1" applyFill="1" applyBorder="1" applyAlignment="1">
      <alignment horizontal="right" vertical="center" wrapText="1"/>
    </xf>
    <xf numFmtId="3" fontId="2" fillId="8" borderId="9" xfId="0" applyNumberFormat="1" applyFont="1" applyFill="1" applyBorder="1" applyAlignment="1">
      <alignment horizontal="center" vertical="center" wrapText="1"/>
    </xf>
    <xf numFmtId="169" fontId="2" fillId="24" borderId="7" xfId="15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2" fillId="7" borderId="58" xfId="0" applyFont="1" applyFill="1" applyBorder="1" applyAlignment="1">
      <alignment horizontal="center" vertical="center" wrapText="1"/>
    </xf>
    <xf numFmtId="0" fontId="2" fillId="18" borderId="58" xfId="0" applyFont="1" applyFill="1" applyBorder="1" applyAlignment="1">
      <alignment horizontal="center" vertical="center" wrapText="1"/>
    </xf>
    <xf numFmtId="0" fontId="2" fillId="13" borderId="58" xfId="0" applyFont="1" applyFill="1" applyBorder="1" applyAlignment="1">
      <alignment horizontal="center" vertical="center" wrapText="1"/>
    </xf>
    <xf numFmtId="3" fontId="2" fillId="17" borderId="49" xfId="0" applyNumberFormat="1" applyFont="1" applyFill="1" applyBorder="1" applyAlignment="1">
      <alignment vertical="center"/>
    </xf>
    <xf numFmtId="3" fontId="2" fillId="17" borderId="20" xfId="0" applyNumberFormat="1" applyFont="1" applyFill="1" applyBorder="1" applyAlignment="1">
      <alignment vertical="center"/>
    </xf>
    <xf numFmtId="3" fontId="2" fillId="7" borderId="30" xfId="0" applyNumberFormat="1" applyFont="1" applyFill="1" applyBorder="1" applyAlignment="1">
      <alignment horizontal="center" vertical="center" wrapText="1"/>
    </xf>
    <xf numFmtId="3" fontId="2" fillId="7" borderId="49" xfId="0" applyNumberFormat="1" applyFont="1" applyFill="1" applyBorder="1" applyAlignment="1">
      <alignment horizontal="center" vertical="center"/>
    </xf>
    <xf numFmtId="3" fontId="2" fillId="7" borderId="20" xfId="0" applyNumberFormat="1" applyFont="1" applyFill="1" applyBorder="1" applyAlignment="1">
      <alignment horizontal="center" vertical="center"/>
    </xf>
    <xf numFmtId="3" fontId="2" fillId="13" borderId="30" xfId="0" applyNumberFormat="1" applyFont="1" applyFill="1" applyBorder="1" applyAlignment="1">
      <alignment horizontal="right" vertical="center"/>
    </xf>
    <xf numFmtId="3" fontId="2" fillId="13" borderId="19" xfId="0" applyNumberFormat="1" applyFont="1" applyFill="1" applyBorder="1" applyAlignment="1">
      <alignment horizontal="right" vertical="center"/>
    </xf>
    <xf numFmtId="3" fontId="2" fillId="13" borderId="20" xfId="0" applyNumberFormat="1" applyFont="1" applyFill="1" applyBorder="1" applyAlignment="1">
      <alignment horizontal="right" vertical="center"/>
    </xf>
    <xf numFmtId="0" fontId="1" fillId="5" borderId="64" xfId="0" applyFont="1" applyFill="1" applyBorder="1" applyAlignment="1">
      <alignment horizontal="center" vertical="center" wrapText="1"/>
    </xf>
    <xf numFmtId="3" fontId="2" fillId="13" borderId="9" xfId="0" applyNumberFormat="1" applyFont="1" applyFill="1" applyBorder="1" applyAlignment="1">
      <alignment horizontal="right" vertical="center" wrapText="1"/>
    </xf>
    <xf numFmtId="3" fontId="2" fillId="8" borderId="6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2" fillId="4" borderId="26" xfId="0" applyFont="1" applyFill="1" applyBorder="1" applyAlignment="1">
      <alignment horizontal="center" vertical="center" wrapText="1"/>
    </xf>
    <xf numFmtId="164" fontId="2" fillId="7" borderId="9" xfId="0" applyNumberFormat="1" applyFont="1" applyFill="1" applyBorder="1" applyAlignment="1">
      <alignment horizontal="center" vertical="center" wrapText="1"/>
    </xf>
    <xf numFmtId="164" fontId="2" fillId="8" borderId="56" xfId="0" applyNumberFormat="1" applyFont="1" applyFill="1" applyBorder="1" applyAlignment="1">
      <alignment horizontal="center" vertical="center" wrapText="1"/>
    </xf>
    <xf numFmtId="164" fontId="2" fillId="8" borderId="9" xfId="0" applyNumberFormat="1" applyFont="1" applyFill="1" applyBorder="1" applyAlignment="1">
      <alignment horizontal="center" vertical="center" wrapText="1"/>
    </xf>
    <xf numFmtId="3" fontId="2" fillId="8" borderId="10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7" borderId="23" xfId="0" applyNumberFormat="1" applyFont="1" applyFill="1" applyBorder="1" applyAlignment="1">
      <alignment horizontal="center" vertical="center" wrapText="1"/>
    </xf>
    <xf numFmtId="164" fontId="2" fillId="6" borderId="40" xfId="0" applyNumberFormat="1" applyFont="1" applyFill="1" applyBorder="1" applyAlignment="1">
      <alignment horizontal="center" vertical="center" wrapText="1"/>
    </xf>
    <xf numFmtId="164" fontId="2" fillId="6" borderId="30" xfId="0" applyNumberFormat="1" applyFont="1" applyFill="1" applyBorder="1" applyAlignment="1">
      <alignment horizontal="center" vertical="center" wrapText="1"/>
    </xf>
    <xf numFmtId="164" fontId="2" fillId="6" borderId="9" xfId="0" applyNumberFormat="1" applyFont="1" applyFill="1" applyBorder="1" applyAlignment="1">
      <alignment horizontal="center" vertical="center" wrapText="1"/>
    </xf>
    <xf numFmtId="3" fontId="2" fillId="6" borderId="9" xfId="0" applyNumberFormat="1" applyFont="1" applyFill="1" applyBorder="1" applyAlignment="1">
      <alignment horizontal="center" vertical="center" wrapText="1"/>
    </xf>
    <xf numFmtId="164" fontId="2" fillId="7" borderId="30" xfId="0" applyNumberFormat="1" applyFont="1" applyFill="1" applyBorder="1" applyAlignment="1">
      <alignment horizontal="center" vertical="center" wrapText="1"/>
    </xf>
    <xf numFmtId="3" fontId="2" fillId="7" borderId="46" xfId="0" applyNumberFormat="1" applyFont="1" applyFill="1" applyBorder="1" applyAlignment="1">
      <alignment horizontal="center" vertical="center" wrapText="1"/>
    </xf>
    <xf numFmtId="3" fontId="2" fillId="6" borderId="20" xfId="0" applyNumberFormat="1" applyFont="1" applyFill="1" applyBorder="1" applyAlignment="1">
      <alignment horizontal="center" vertical="center" wrapText="1"/>
    </xf>
    <xf numFmtId="164" fontId="2" fillId="6" borderId="60" xfId="0" applyNumberFormat="1" applyFont="1" applyFill="1" applyBorder="1" applyAlignment="1">
      <alignment horizontal="center" vertical="center" wrapText="1"/>
    </xf>
    <xf numFmtId="164" fontId="2" fillId="11" borderId="9" xfId="0" applyNumberFormat="1" applyFont="1" applyFill="1" applyBorder="1" applyAlignment="1">
      <alignment horizontal="center" vertical="center" wrapText="1"/>
    </xf>
    <xf numFmtId="3" fontId="2" fillId="11" borderId="9" xfId="0" applyNumberFormat="1" applyFont="1" applyFill="1" applyBorder="1" applyAlignment="1">
      <alignment horizontal="center" vertical="center" wrapText="1"/>
    </xf>
    <xf numFmtId="3" fontId="6" fillId="6" borderId="30" xfId="0" applyNumberFormat="1" applyFont="1" applyFill="1" applyBorder="1" applyAlignment="1">
      <alignment horizontal="center" vertical="center"/>
    </xf>
    <xf numFmtId="3" fontId="6" fillId="6" borderId="46" xfId="0" applyNumberFormat="1" applyFont="1" applyFill="1" applyBorder="1" applyAlignment="1">
      <alignment horizontal="center" vertical="center"/>
    </xf>
    <xf numFmtId="3" fontId="6" fillId="6" borderId="8" xfId="0" applyNumberFormat="1" applyFon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 vertical="center"/>
    </xf>
    <xf numFmtId="3" fontId="6" fillId="6" borderId="10" xfId="0" applyNumberFormat="1" applyFont="1" applyFill="1" applyBorder="1" applyAlignment="1">
      <alignment horizontal="center" vertical="center"/>
    </xf>
    <xf numFmtId="164" fontId="2" fillId="13" borderId="14" xfId="0" applyNumberFormat="1" applyFont="1" applyFill="1" applyBorder="1" applyAlignment="1">
      <alignment horizontal="center" wrapText="1"/>
    </xf>
    <xf numFmtId="164" fontId="2" fillId="13" borderId="62" xfId="0" applyNumberFormat="1" applyFont="1" applyFill="1" applyBorder="1" applyAlignment="1">
      <alignment horizontal="center" wrapText="1"/>
    </xf>
    <xf numFmtId="164" fontId="2" fillId="7" borderId="14" xfId="0" applyNumberFormat="1" applyFont="1" applyFill="1" applyBorder="1" applyAlignment="1">
      <alignment horizontal="center" wrapText="1"/>
    </xf>
    <xf numFmtId="164" fontId="2" fillId="7" borderId="62" xfId="0" applyNumberFormat="1" applyFont="1" applyFill="1" applyBorder="1" applyAlignment="1">
      <alignment horizontal="center" wrapText="1"/>
    </xf>
    <xf numFmtId="164" fontId="2" fillId="21" borderId="14" xfId="0" applyNumberFormat="1" applyFont="1" applyFill="1" applyBorder="1" applyAlignment="1">
      <alignment horizontal="center" wrapText="1"/>
    </xf>
    <xf numFmtId="164" fontId="2" fillId="21" borderId="62" xfId="0" applyNumberFormat="1" applyFont="1" applyFill="1" applyBorder="1" applyAlignment="1">
      <alignment horizontal="center" wrapText="1"/>
    </xf>
    <xf numFmtId="164" fontId="2" fillId="5" borderId="14" xfId="0" applyNumberFormat="1" applyFont="1" applyFill="1" applyBorder="1" applyAlignment="1">
      <alignment horizontal="center" wrapText="1"/>
    </xf>
    <xf numFmtId="164" fontId="2" fillId="8" borderId="14" xfId="0" applyNumberFormat="1" applyFont="1" applyFill="1" applyBorder="1" applyAlignment="1">
      <alignment horizontal="center" wrapText="1"/>
    </xf>
    <xf numFmtId="0" fontId="2" fillId="9" borderId="68" xfId="0" applyFont="1" applyFill="1" applyBorder="1" applyAlignment="1">
      <alignment vertical="center"/>
    </xf>
    <xf numFmtId="3" fontId="2" fillId="17" borderId="64" xfId="0" applyNumberFormat="1" applyFont="1" applyFill="1" applyBorder="1" applyAlignment="1">
      <alignment horizontal="center" vertical="center" wrapText="1"/>
    </xf>
    <xf numFmtId="164" fontId="2" fillId="18" borderId="62" xfId="0" applyNumberFormat="1" applyFont="1" applyFill="1" applyBorder="1" applyAlignment="1">
      <alignment horizontal="center" vertical="center"/>
    </xf>
    <xf numFmtId="169" fontId="2" fillId="7" borderId="30" xfId="15" applyNumberFormat="1" applyFont="1" applyFill="1" applyBorder="1" applyAlignment="1">
      <alignment horizontal="center" vertical="center"/>
    </xf>
    <xf numFmtId="164" fontId="2" fillId="17" borderId="62" xfId="22" applyNumberFormat="1" applyFont="1" applyFill="1" applyBorder="1" applyAlignment="1">
      <alignment horizontal="center" vertical="center"/>
    </xf>
    <xf numFmtId="37" fontId="2" fillId="0" borderId="20" xfId="0" applyNumberFormat="1" applyFont="1" applyFill="1" applyBorder="1" applyAlignment="1">
      <alignment vertical="center"/>
    </xf>
    <xf numFmtId="164" fontId="2" fillId="13" borderId="62" xfId="22" applyNumberFormat="1" applyFont="1" applyFill="1" applyBorder="1" applyAlignment="1">
      <alignment horizontal="center" vertical="center"/>
    </xf>
    <xf numFmtId="3" fontId="2" fillId="7" borderId="4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164" fontId="2" fillId="14" borderId="40" xfId="0" applyNumberFormat="1" applyFont="1" applyFill="1" applyBorder="1" applyAlignment="1">
      <alignment horizontal="center" vertical="center"/>
    </xf>
    <xf numFmtId="164" fontId="2" fillId="14" borderId="56" xfId="0" applyNumberFormat="1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3" fontId="2" fillId="7" borderId="49" xfId="0" applyNumberFormat="1" applyFont="1" applyFill="1" applyBorder="1" applyAlignment="1">
      <alignment vertical="center"/>
    </xf>
    <xf numFmtId="3" fontId="2" fillId="7" borderId="19" xfId="0" applyNumberFormat="1" applyFont="1" applyFill="1" applyBorder="1" applyAlignment="1">
      <alignment vertical="center"/>
    </xf>
    <xf numFmtId="3" fontId="2" fillId="7" borderId="20" xfId="0" applyNumberFormat="1" applyFont="1" applyFill="1" applyBorder="1" applyAlignment="1">
      <alignment vertical="center"/>
    </xf>
    <xf numFmtId="0" fontId="2" fillId="17" borderId="36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16" borderId="36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vertical="center"/>
    </xf>
    <xf numFmtId="169" fontId="2" fillId="17" borderId="30" xfId="15" applyNumberFormat="1" applyFont="1" applyFill="1" applyBorder="1" applyAlignment="1">
      <alignment horizontal="center" vertical="center"/>
    </xf>
    <xf numFmtId="169" fontId="2" fillId="13" borderId="30" xfId="15" applyNumberFormat="1" applyFont="1" applyFill="1" applyBorder="1" applyAlignment="1">
      <alignment vertical="center"/>
    </xf>
    <xf numFmtId="169" fontId="2" fillId="13" borderId="7" xfId="15" applyNumberFormat="1" applyFont="1" applyFill="1" applyBorder="1" applyAlignment="1">
      <alignment vertical="center"/>
    </xf>
    <xf numFmtId="169" fontId="2" fillId="7" borderId="7" xfId="15" applyNumberFormat="1" applyFont="1" applyFill="1" applyBorder="1" applyAlignment="1">
      <alignment horizontal="right" vertical="center"/>
    </xf>
    <xf numFmtId="169" fontId="2" fillId="13" borderId="7" xfId="15" applyNumberFormat="1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6" borderId="35" xfId="0" applyFont="1" applyFill="1" applyBorder="1" applyAlignment="1">
      <alignment horizontal="center" vertical="center"/>
    </xf>
    <xf numFmtId="0" fontId="2" fillId="13" borderId="35" xfId="0" applyFont="1" applyFill="1" applyBorder="1" applyAlignment="1">
      <alignment horizontal="center" vertical="center"/>
    </xf>
    <xf numFmtId="164" fontId="2" fillId="0" borderId="70" xfId="0" applyNumberFormat="1" applyFont="1" applyFill="1" applyBorder="1" applyAlignment="1">
      <alignment horizontal="center" vertical="center"/>
    </xf>
    <xf numFmtId="3" fontId="2" fillId="13" borderId="64" xfId="0" applyNumberFormat="1" applyFont="1" applyFill="1" applyBorder="1" applyAlignment="1">
      <alignment horizontal="center" vertical="center" wrapText="1"/>
    </xf>
    <xf numFmtId="3" fontId="2" fillId="17" borderId="65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32" xfId="0" applyBorder="1" applyAlignment="1">
      <alignment/>
    </xf>
    <xf numFmtId="0" fontId="0" fillId="0" borderId="4" xfId="0" applyBorder="1" applyAlignment="1">
      <alignment/>
    </xf>
    <xf numFmtId="3" fontId="2" fillId="17" borderId="64" xfId="0" applyNumberFormat="1" applyFont="1" applyFill="1" applyBorder="1" applyAlignment="1">
      <alignment horizontal="right" vertical="center" wrapText="1"/>
    </xf>
    <xf numFmtId="164" fontId="2" fillId="17" borderId="62" xfId="0" applyNumberFormat="1" applyFont="1" applyFill="1" applyBorder="1" applyAlignment="1">
      <alignment horizontal="center" vertical="center" wrapText="1"/>
    </xf>
    <xf numFmtId="164" fontId="2" fillId="13" borderId="62" xfId="0" applyNumberFormat="1" applyFont="1" applyFill="1" applyBorder="1" applyAlignment="1">
      <alignment horizontal="center" vertical="center" wrapText="1"/>
    </xf>
    <xf numFmtId="3" fontId="2" fillId="13" borderId="64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13" borderId="65" xfId="0" applyNumberFormat="1" applyFont="1" applyFill="1" applyBorder="1" applyAlignment="1">
      <alignment horizontal="center" vertical="center" wrapText="1"/>
    </xf>
    <xf numFmtId="3" fontId="2" fillId="13" borderId="5" xfId="0" applyNumberFormat="1" applyFont="1" applyFill="1" applyBorder="1" applyAlignment="1">
      <alignment horizontal="right" vertical="center" wrapText="1"/>
    </xf>
    <xf numFmtId="3" fontId="2" fillId="13" borderId="5" xfId="0" applyNumberFormat="1" applyFont="1" applyFill="1" applyBorder="1" applyAlignment="1">
      <alignment horizontal="center" vertical="center" wrapText="1"/>
    </xf>
    <xf numFmtId="3" fontId="2" fillId="13" borderId="6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2" fillId="7" borderId="62" xfId="0" applyNumberFormat="1" applyFont="1" applyFill="1" applyBorder="1" applyAlignment="1">
      <alignment horizontal="center" vertical="center" wrapText="1"/>
    </xf>
    <xf numFmtId="3" fontId="2" fillId="7" borderId="64" xfId="0" applyNumberFormat="1" applyFont="1" applyFill="1" applyBorder="1" applyAlignment="1">
      <alignment horizontal="righ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18" borderId="38" xfId="0" applyFont="1" applyFill="1" applyBorder="1" applyAlignment="1">
      <alignment horizontal="center" vertical="center"/>
    </xf>
    <xf numFmtId="0" fontId="2" fillId="18" borderId="25" xfId="0" applyFont="1" applyFill="1" applyBorder="1" applyAlignment="1">
      <alignment horizontal="center" vertical="center"/>
    </xf>
    <xf numFmtId="164" fontId="2" fillId="0" borderId="15" xfId="22" applyNumberFormat="1" applyFont="1" applyFill="1" applyBorder="1" applyAlignment="1">
      <alignment horizontal="center" vertical="center"/>
    </xf>
    <xf numFmtId="0" fontId="2" fillId="17" borderId="49" xfId="0" applyFont="1" applyFill="1" applyBorder="1" applyAlignment="1">
      <alignment horizontal="center" vertical="center"/>
    </xf>
    <xf numFmtId="164" fontId="2" fillId="13" borderId="70" xfId="22" applyNumberFormat="1" applyFont="1" applyFill="1" applyBorder="1" applyAlignment="1">
      <alignment horizontal="center" vertical="center"/>
    </xf>
    <xf numFmtId="164" fontId="2" fillId="13" borderId="23" xfId="22" applyNumberFormat="1" applyFont="1" applyFill="1" applyBorder="1" applyAlignment="1">
      <alignment horizontal="center" vertical="center"/>
    </xf>
    <xf numFmtId="164" fontId="2" fillId="13" borderId="60" xfId="22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 wrapText="1"/>
    </xf>
    <xf numFmtId="0" fontId="2" fillId="7" borderId="38" xfId="0" applyFont="1" applyFill="1" applyBorder="1" applyAlignment="1">
      <alignment horizontal="center" vertical="center"/>
    </xf>
    <xf numFmtId="3" fontId="2" fillId="8" borderId="30" xfId="0" applyNumberFormat="1" applyFont="1" applyFill="1" applyBorder="1" applyAlignment="1">
      <alignment horizontal="right" vertical="center"/>
    </xf>
    <xf numFmtId="3" fontId="2" fillId="8" borderId="7" xfId="0" applyNumberFormat="1" applyFont="1" applyFill="1" applyBorder="1" applyAlignment="1">
      <alignment horizontal="right" vertical="center"/>
    </xf>
    <xf numFmtId="3" fontId="2" fillId="7" borderId="7" xfId="0" applyNumberFormat="1" applyFont="1" applyFill="1" applyBorder="1" applyAlignment="1">
      <alignment horizontal="right" vertical="center"/>
    </xf>
    <xf numFmtId="3" fontId="2" fillId="8" borderId="46" xfId="0" applyNumberFormat="1" applyFont="1" applyFill="1" applyBorder="1" applyAlignment="1">
      <alignment horizontal="right" vertical="center"/>
    </xf>
    <xf numFmtId="3" fontId="2" fillId="8" borderId="8" xfId="0" applyNumberFormat="1" applyFont="1" applyFill="1" applyBorder="1" applyAlignment="1">
      <alignment horizontal="right" vertical="center"/>
    </xf>
    <xf numFmtId="169" fontId="2" fillId="0" borderId="20" xfId="15" applyNumberFormat="1" applyFont="1" applyFill="1" applyBorder="1" applyAlignment="1">
      <alignment horizontal="center" vertical="center"/>
    </xf>
    <xf numFmtId="3" fontId="2" fillId="18" borderId="64" xfId="0" applyNumberFormat="1" applyFont="1" applyFill="1" applyBorder="1" applyAlignment="1">
      <alignment horizontal="right" vertical="center" wrapText="1"/>
    </xf>
    <xf numFmtId="164" fontId="2" fillId="25" borderId="40" xfId="0" applyNumberFormat="1" applyFont="1" applyFill="1" applyBorder="1" applyAlignment="1">
      <alignment horizontal="center" vertical="center"/>
    </xf>
    <xf numFmtId="164" fontId="2" fillId="25" borderId="14" xfId="0" applyNumberFormat="1" applyFont="1" applyFill="1" applyBorder="1" applyAlignment="1">
      <alignment horizontal="center" vertical="center"/>
    </xf>
    <xf numFmtId="164" fontId="2" fillId="25" borderId="62" xfId="0" applyNumberFormat="1" applyFont="1" applyFill="1" applyBorder="1" applyAlignment="1">
      <alignment horizontal="center" vertical="center"/>
    </xf>
    <xf numFmtId="164" fontId="2" fillId="25" borderId="40" xfId="22" applyNumberFormat="1" applyFont="1" applyFill="1" applyBorder="1" applyAlignment="1">
      <alignment horizontal="center" vertical="center"/>
    </xf>
    <xf numFmtId="3" fontId="2" fillId="25" borderId="30" xfId="0" applyNumberFormat="1" applyFont="1" applyFill="1" applyBorder="1" applyAlignment="1">
      <alignment horizontal="right" vertical="center" wrapText="1"/>
    </xf>
    <xf numFmtId="164" fontId="2" fillId="25" borderId="14" xfId="22" applyNumberFormat="1" applyFont="1" applyFill="1" applyBorder="1" applyAlignment="1">
      <alignment horizontal="center" vertical="center"/>
    </xf>
    <xf numFmtId="3" fontId="2" fillId="25" borderId="7" xfId="0" applyNumberFormat="1" applyFont="1" applyFill="1" applyBorder="1" applyAlignment="1">
      <alignment horizontal="right" vertical="center" wrapText="1"/>
    </xf>
    <xf numFmtId="3" fontId="2" fillId="25" borderId="7" xfId="0" applyNumberFormat="1" applyFont="1" applyFill="1" applyBorder="1" applyAlignment="1">
      <alignment vertical="center"/>
    </xf>
    <xf numFmtId="164" fontId="2" fillId="25" borderId="56" xfId="22" applyNumberFormat="1" applyFont="1" applyFill="1" applyBorder="1" applyAlignment="1">
      <alignment horizontal="center" vertical="center"/>
    </xf>
    <xf numFmtId="3" fontId="2" fillId="25" borderId="9" xfId="0" applyNumberFormat="1" applyFont="1" applyFill="1" applyBorder="1" applyAlignment="1">
      <alignment horizontal="right" vertical="center" wrapText="1"/>
    </xf>
    <xf numFmtId="0" fontId="2" fillId="25" borderId="35" xfId="0" applyFont="1" applyFill="1" applyBorder="1" applyAlignment="1">
      <alignment horizontal="center" vertical="center" wrapText="1"/>
    </xf>
    <xf numFmtId="164" fontId="2" fillId="14" borderId="40" xfId="22" applyNumberFormat="1" applyFont="1" applyFill="1" applyBorder="1" applyAlignment="1">
      <alignment horizontal="center" vertical="center"/>
    </xf>
    <xf numFmtId="164" fontId="2" fillId="14" borderId="14" xfId="22" applyNumberFormat="1" applyFont="1" applyFill="1" applyBorder="1" applyAlignment="1">
      <alignment horizontal="center" vertical="center"/>
    </xf>
    <xf numFmtId="3" fontId="2" fillId="17" borderId="5" xfId="0" applyNumberFormat="1" applyFont="1" applyFill="1" applyBorder="1" applyAlignment="1">
      <alignment horizontal="center" vertical="center"/>
    </xf>
    <xf numFmtId="164" fontId="2" fillId="7" borderId="62" xfId="22" applyNumberFormat="1" applyFont="1" applyFill="1" applyBorder="1" applyAlignment="1">
      <alignment horizontal="center" vertical="center"/>
    </xf>
    <xf numFmtId="164" fontId="2" fillId="25" borderId="62" xfId="22" applyNumberFormat="1" applyFont="1" applyFill="1" applyBorder="1" applyAlignment="1">
      <alignment horizontal="center" vertical="center"/>
    </xf>
    <xf numFmtId="164" fontId="2" fillId="16" borderId="23" xfId="22" applyNumberFormat="1" applyFont="1" applyFill="1" applyBorder="1" applyAlignment="1">
      <alignment horizontal="center" vertical="center"/>
    </xf>
    <xf numFmtId="164" fontId="2" fillId="16" borderId="60" xfId="22" applyNumberFormat="1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 wrapText="1"/>
    </xf>
    <xf numFmtId="164" fontId="2" fillId="16" borderId="62" xfId="22" applyNumberFormat="1" applyFont="1" applyFill="1" applyBorder="1" applyAlignment="1">
      <alignment horizontal="center" vertical="center"/>
    </xf>
    <xf numFmtId="3" fontId="2" fillId="13" borderId="49" xfId="0" applyNumberFormat="1" applyFont="1" applyFill="1" applyBorder="1" applyAlignment="1">
      <alignment horizontal="right" vertical="center" wrapText="1"/>
    </xf>
    <xf numFmtId="3" fontId="2" fillId="13" borderId="19" xfId="0" applyNumberFormat="1" applyFont="1" applyFill="1" applyBorder="1" applyAlignment="1">
      <alignment horizontal="right" vertical="center" wrapText="1"/>
    </xf>
    <xf numFmtId="169" fontId="2" fillId="0" borderId="20" xfId="15" applyNumberFormat="1" applyFont="1" applyFill="1" applyBorder="1" applyAlignment="1">
      <alignment horizontal="center" vertical="center" wrapText="1"/>
    </xf>
    <xf numFmtId="3" fontId="2" fillId="14" borderId="64" xfId="0" applyNumberFormat="1" applyFont="1" applyFill="1" applyBorder="1" applyAlignment="1">
      <alignment vertical="center"/>
    </xf>
    <xf numFmtId="3" fontId="2" fillId="14" borderId="65" xfId="0" applyNumberFormat="1" applyFont="1" applyFill="1" applyBorder="1" applyAlignment="1">
      <alignment vertical="center"/>
    </xf>
    <xf numFmtId="164" fontId="2" fillId="0" borderId="70" xfId="22" applyNumberFormat="1" applyFont="1" applyFill="1" applyBorder="1" applyAlignment="1">
      <alignment horizontal="center" vertical="center"/>
    </xf>
    <xf numFmtId="164" fontId="2" fillId="0" borderId="60" xfId="22" applyNumberFormat="1" applyFont="1" applyFill="1" applyBorder="1" applyAlignment="1">
      <alignment horizontal="center" vertical="center"/>
    </xf>
    <xf numFmtId="164" fontId="2" fillId="25" borderId="70" xfId="22" applyNumberFormat="1" applyFont="1" applyFill="1" applyBorder="1" applyAlignment="1">
      <alignment horizontal="center" vertical="center"/>
    </xf>
    <xf numFmtId="164" fontId="2" fillId="25" borderId="23" xfId="22" applyNumberFormat="1" applyFont="1" applyFill="1" applyBorder="1" applyAlignment="1">
      <alignment horizontal="center" vertical="center"/>
    </xf>
    <xf numFmtId="164" fontId="2" fillId="25" borderId="60" xfId="22" applyNumberFormat="1" applyFont="1" applyFill="1" applyBorder="1" applyAlignment="1">
      <alignment horizontal="center" vertical="center"/>
    </xf>
    <xf numFmtId="3" fontId="2" fillId="14" borderId="30" xfId="0" applyNumberFormat="1" applyFont="1" applyFill="1" applyBorder="1" applyAlignment="1">
      <alignment horizontal="center" vertical="center"/>
    </xf>
    <xf numFmtId="3" fontId="2" fillId="14" borderId="7" xfId="0" applyNumberFormat="1" applyFont="1" applyFill="1" applyBorder="1" applyAlignment="1">
      <alignment horizontal="center" vertical="center"/>
    </xf>
    <xf numFmtId="164" fontId="2" fillId="14" borderId="62" xfId="22" applyNumberFormat="1" applyFont="1" applyFill="1" applyBorder="1" applyAlignment="1">
      <alignment horizontal="center" vertical="center"/>
    </xf>
    <xf numFmtId="3" fontId="2" fillId="14" borderId="64" xfId="0" applyNumberFormat="1" applyFont="1" applyFill="1" applyBorder="1" applyAlignment="1">
      <alignment horizontal="center" vertical="center"/>
    </xf>
    <xf numFmtId="169" fontId="2" fillId="17" borderId="70" xfId="15" applyNumberFormat="1" applyFont="1" applyFill="1" applyBorder="1" applyAlignment="1">
      <alignment horizontal="center" vertical="center"/>
    </xf>
    <xf numFmtId="169" fontId="2" fillId="17" borderId="23" xfId="15" applyNumberFormat="1" applyFont="1" applyFill="1" applyBorder="1" applyAlignment="1">
      <alignment horizontal="center" vertical="center"/>
    </xf>
    <xf numFmtId="169" fontId="2" fillId="7" borderId="70" xfId="15" applyNumberFormat="1" applyFont="1" applyFill="1" applyBorder="1" applyAlignment="1">
      <alignment horizontal="center" vertical="center"/>
    </xf>
    <xf numFmtId="169" fontId="2" fillId="7" borderId="23" xfId="15" applyNumberFormat="1" applyFont="1" applyFill="1" applyBorder="1" applyAlignment="1">
      <alignment horizontal="center" vertical="center"/>
    </xf>
    <xf numFmtId="169" fontId="2" fillId="7" borderId="60" xfId="15" applyNumberFormat="1" applyFont="1" applyFill="1" applyBorder="1" applyAlignment="1">
      <alignment horizontal="center" vertical="center"/>
    </xf>
    <xf numFmtId="43" fontId="2" fillId="24" borderId="23" xfId="15" applyFont="1" applyFill="1" applyBorder="1" applyAlignment="1">
      <alignment horizontal="center" vertical="center"/>
    </xf>
    <xf numFmtId="3" fontId="2" fillId="17" borderId="19" xfId="0" applyNumberFormat="1" applyFont="1" applyFill="1" applyBorder="1" applyAlignment="1">
      <alignment horizontal="right" vertical="center" wrapText="1"/>
    </xf>
    <xf numFmtId="3" fontId="2" fillId="0" borderId="46" xfId="0" applyNumberFormat="1" applyFont="1" applyFill="1" applyBorder="1" applyAlignment="1">
      <alignment horizontal="right" vertical="center" wrapText="1"/>
    </xf>
    <xf numFmtId="164" fontId="2" fillId="7" borderId="70" xfId="0" applyNumberFormat="1" applyFont="1" applyFill="1" applyBorder="1" applyAlignment="1">
      <alignment horizontal="center" vertical="center"/>
    </xf>
    <xf numFmtId="164" fontId="2" fillId="7" borderId="23" xfId="0" applyNumberFormat="1" applyFont="1" applyFill="1" applyBorder="1" applyAlignment="1">
      <alignment horizontal="center" vertical="center"/>
    </xf>
    <xf numFmtId="164" fontId="2" fillId="7" borderId="60" xfId="0" applyNumberFormat="1" applyFont="1" applyFill="1" applyBorder="1" applyAlignment="1">
      <alignment horizontal="center" vertical="center"/>
    </xf>
    <xf numFmtId="3" fontId="2" fillId="13" borderId="20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3" fontId="6" fillId="8" borderId="9" xfId="0" applyNumberFormat="1" applyFont="1" applyFill="1" applyBorder="1" applyAlignment="1">
      <alignment horizontal="center" vertical="center"/>
    </xf>
    <xf numFmtId="3" fontId="2" fillId="7" borderId="30" xfId="0" applyNumberFormat="1" applyFont="1" applyFill="1" applyBorder="1" applyAlignment="1">
      <alignment horizontal="center" vertical="center" wrapText="1"/>
    </xf>
    <xf numFmtId="3" fontId="6" fillId="7" borderId="9" xfId="0" applyNumberFormat="1" applyFont="1" applyFill="1" applyBorder="1" applyAlignment="1">
      <alignment horizontal="center" vertical="center"/>
    </xf>
    <xf numFmtId="164" fontId="2" fillId="7" borderId="70" xfId="0" applyNumberFormat="1" applyFont="1" applyFill="1" applyBorder="1" applyAlignment="1">
      <alignment horizontal="center" vertical="center" wrapText="1"/>
    </xf>
    <xf numFmtId="164" fontId="2" fillId="7" borderId="60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164" fontId="2" fillId="11" borderId="40" xfId="0" applyNumberFormat="1" applyFont="1" applyFill="1" applyBorder="1" applyAlignment="1">
      <alignment horizontal="center" vertical="center" wrapText="1"/>
    </xf>
    <xf numFmtId="164" fontId="2" fillId="11" borderId="30" xfId="0" applyNumberFormat="1" applyFont="1" applyFill="1" applyBorder="1" applyAlignment="1">
      <alignment horizontal="center" vertical="center" wrapText="1"/>
    </xf>
    <xf numFmtId="3" fontId="2" fillId="11" borderId="30" xfId="0" applyNumberFormat="1" applyFont="1" applyFill="1" applyBorder="1" applyAlignment="1">
      <alignment horizontal="center" vertical="center" wrapText="1"/>
    </xf>
    <xf numFmtId="3" fontId="6" fillId="11" borderId="30" xfId="0" applyNumberFormat="1" applyFont="1" applyFill="1" applyBorder="1" applyAlignment="1">
      <alignment horizontal="center" vertical="center"/>
    </xf>
    <xf numFmtId="3" fontId="2" fillId="11" borderId="30" xfId="0" applyNumberFormat="1" applyFont="1" applyFill="1" applyBorder="1" applyAlignment="1">
      <alignment horizontal="center" vertical="center"/>
    </xf>
    <xf numFmtId="3" fontId="2" fillId="11" borderId="46" xfId="0" applyNumberFormat="1" applyFont="1" applyFill="1" applyBorder="1" applyAlignment="1">
      <alignment horizontal="center" vertical="center"/>
    </xf>
    <xf numFmtId="164" fontId="2" fillId="11" borderId="14" xfId="0" applyNumberFormat="1" applyFont="1" applyFill="1" applyBorder="1" applyAlignment="1">
      <alignment horizontal="center" vertical="center" wrapText="1"/>
    </xf>
    <xf numFmtId="3" fontId="2" fillId="11" borderId="8" xfId="0" applyNumberFormat="1" applyFont="1" applyFill="1" applyBorder="1" applyAlignment="1">
      <alignment horizontal="center" vertical="center"/>
    </xf>
    <xf numFmtId="164" fontId="2" fillId="11" borderId="56" xfId="0" applyNumberFormat="1" applyFont="1" applyFill="1" applyBorder="1" applyAlignment="1">
      <alignment horizontal="center" vertical="center" wrapText="1"/>
    </xf>
    <xf numFmtId="3" fontId="6" fillId="11" borderId="9" xfId="0" applyNumberFormat="1" applyFont="1" applyFill="1" applyBorder="1" applyAlignment="1">
      <alignment horizontal="center" vertical="center"/>
    </xf>
    <xf numFmtId="3" fontId="2" fillId="11" borderId="9" xfId="0" applyNumberFormat="1" applyFont="1" applyFill="1" applyBorder="1" applyAlignment="1">
      <alignment horizontal="center" vertical="center"/>
    </xf>
    <xf numFmtId="3" fontId="2" fillId="11" borderId="10" xfId="0" applyNumberFormat="1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8" borderId="61" xfId="0" applyFont="1" applyFill="1" applyBorder="1" applyAlignment="1">
      <alignment vertical="center"/>
    </xf>
    <xf numFmtId="3" fontId="2" fillId="11" borderId="3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2" fillId="8" borderId="12" xfId="0" applyFont="1" applyFill="1" applyBorder="1" applyAlignment="1">
      <alignment vertical="center"/>
    </xf>
    <xf numFmtId="3" fontId="2" fillId="11" borderId="7" xfId="0" applyNumberFormat="1" applyFont="1" applyFill="1" applyBorder="1" applyAlignment="1">
      <alignment horizontal="right" vertical="center" wrapText="1"/>
    </xf>
    <xf numFmtId="3" fontId="2" fillId="7" borderId="69" xfId="0" applyNumberFormat="1" applyFont="1" applyFill="1" applyBorder="1" applyAlignment="1">
      <alignment horizontal="right" vertical="center" wrapText="1"/>
    </xf>
    <xf numFmtId="0" fontId="2" fillId="8" borderId="68" xfId="0" applyFont="1" applyFill="1" applyBorder="1" applyAlignment="1">
      <alignment vertical="center"/>
    </xf>
    <xf numFmtId="3" fontId="2" fillId="11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horizontal="center" vertical="center"/>
    </xf>
    <xf numFmtId="164" fontId="2" fillId="8" borderId="9" xfId="0" applyNumberFormat="1" applyFont="1" applyFill="1" applyBorder="1" applyAlignment="1">
      <alignment horizontal="center" vertical="center"/>
    </xf>
    <xf numFmtId="164" fontId="2" fillId="18" borderId="70" xfId="0" applyNumberFormat="1" applyFont="1" applyFill="1" applyBorder="1" applyAlignment="1">
      <alignment horizontal="center" vertical="center"/>
    </xf>
    <xf numFmtId="164" fontId="2" fillId="18" borderId="23" xfId="0" applyNumberFormat="1" applyFont="1" applyFill="1" applyBorder="1" applyAlignment="1">
      <alignment horizontal="center" vertical="center"/>
    </xf>
    <xf numFmtId="164" fontId="2" fillId="18" borderId="60" xfId="0" applyNumberFormat="1" applyFont="1" applyFill="1" applyBorder="1" applyAlignment="1">
      <alignment horizontal="center" vertical="center"/>
    </xf>
    <xf numFmtId="169" fontId="2" fillId="21" borderId="9" xfId="15" applyNumberFormat="1" applyFont="1" applyFill="1" applyBorder="1" applyAlignment="1">
      <alignment horizontal="center" vertical="center"/>
    </xf>
    <xf numFmtId="169" fontId="2" fillId="21" borderId="10" xfId="15" applyNumberFormat="1" applyFont="1" applyFill="1" applyBorder="1" applyAlignment="1">
      <alignment horizontal="center" vertical="center"/>
    </xf>
    <xf numFmtId="169" fontId="2" fillId="14" borderId="9" xfId="15" applyNumberFormat="1" applyFont="1" applyFill="1" applyBorder="1" applyAlignment="1">
      <alignment horizontal="center" vertical="center"/>
    </xf>
    <xf numFmtId="169" fontId="2" fillId="14" borderId="10" xfId="15" applyNumberFormat="1" applyFont="1" applyFill="1" applyBorder="1" applyAlignment="1">
      <alignment horizontal="center" vertical="center"/>
    </xf>
    <xf numFmtId="3" fontId="2" fillId="17" borderId="9" xfId="0" applyNumberFormat="1" applyFont="1" applyFill="1" applyBorder="1" applyAlignment="1">
      <alignment horizontal="center" vertical="center" wrapText="1"/>
    </xf>
    <xf numFmtId="169" fontId="2" fillId="17" borderId="9" xfId="15" applyNumberFormat="1" applyFont="1" applyFill="1" applyBorder="1" applyAlignment="1">
      <alignment horizontal="center" vertical="center"/>
    </xf>
    <xf numFmtId="169" fontId="2" fillId="17" borderId="49" xfId="15" applyNumberFormat="1" applyFont="1" applyFill="1" applyBorder="1" applyAlignment="1">
      <alignment horizontal="center" vertical="center"/>
    </xf>
    <xf numFmtId="169" fontId="2" fillId="17" borderId="19" xfId="15" applyNumberFormat="1" applyFont="1" applyFill="1" applyBorder="1" applyAlignment="1">
      <alignment horizontal="center" vertical="center"/>
    </xf>
    <xf numFmtId="169" fontId="2" fillId="17" borderId="20" xfId="15" applyNumberFormat="1" applyFont="1" applyFill="1" applyBorder="1" applyAlignment="1">
      <alignment horizontal="center" vertical="center"/>
    </xf>
    <xf numFmtId="164" fontId="2" fillId="21" borderId="70" xfId="0" applyNumberFormat="1" applyFont="1" applyFill="1" applyBorder="1" applyAlignment="1">
      <alignment horizontal="center" vertical="center"/>
    </xf>
    <xf numFmtId="164" fontId="2" fillId="21" borderId="23" xfId="0" applyNumberFormat="1" applyFont="1" applyFill="1" applyBorder="1" applyAlignment="1">
      <alignment horizontal="center" vertical="center"/>
    </xf>
    <xf numFmtId="164" fontId="2" fillId="21" borderId="60" xfId="0" applyNumberFormat="1" applyFont="1" applyFill="1" applyBorder="1" applyAlignment="1">
      <alignment horizontal="center" vertical="center"/>
    </xf>
    <xf numFmtId="164" fontId="2" fillId="24" borderId="40" xfId="0" applyNumberFormat="1" applyFont="1" applyFill="1" applyBorder="1" applyAlignment="1">
      <alignment horizontal="center" vertical="center"/>
    </xf>
    <xf numFmtId="169" fontId="2" fillId="24" borderId="30" xfId="15" applyNumberFormat="1" applyFont="1" applyFill="1" applyBorder="1" applyAlignment="1">
      <alignment horizontal="center" vertical="center"/>
    </xf>
    <xf numFmtId="169" fontId="2" fillId="24" borderId="46" xfId="15" applyNumberFormat="1" applyFont="1" applyFill="1" applyBorder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/>
    </xf>
    <xf numFmtId="169" fontId="2" fillId="24" borderId="8" xfId="15" applyNumberFormat="1" applyFont="1" applyFill="1" applyBorder="1" applyAlignment="1">
      <alignment horizontal="center" vertical="center"/>
    </xf>
    <xf numFmtId="3" fontId="2" fillId="24" borderId="8" xfId="0" applyNumberFormat="1" applyFont="1" applyFill="1" applyBorder="1" applyAlignment="1">
      <alignment horizontal="center" vertical="center" wrapText="1"/>
    </xf>
    <xf numFmtId="164" fontId="2" fillId="24" borderId="56" xfId="0" applyNumberFormat="1" applyFont="1" applyFill="1" applyBorder="1" applyAlignment="1">
      <alignment horizontal="center" vertical="center"/>
    </xf>
    <xf numFmtId="3" fontId="2" fillId="24" borderId="9" xfId="0" applyNumberFormat="1" applyFont="1" applyFill="1" applyBorder="1" applyAlignment="1">
      <alignment horizontal="center" vertical="center" wrapText="1"/>
    </xf>
    <xf numFmtId="169" fontId="2" fillId="24" borderId="9" xfId="15" applyNumberFormat="1" applyFont="1" applyFill="1" applyBorder="1" applyAlignment="1">
      <alignment horizontal="center" vertical="center"/>
    </xf>
    <xf numFmtId="169" fontId="2" fillId="24" borderId="10" xfId="15" applyNumberFormat="1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169" fontId="2" fillId="24" borderId="30" xfId="15" applyNumberFormat="1" applyFont="1" applyFill="1" applyBorder="1" applyAlignment="1">
      <alignment vertical="center"/>
    </xf>
    <xf numFmtId="169" fontId="2" fillId="21" borderId="30" xfId="15" applyNumberFormat="1" applyFont="1" applyFill="1" applyBorder="1" applyAlignment="1">
      <alignment vertical="center"/>
    </xf>
    <xf numFmtId="169" fontId="2" fillId="14" borderId="30" xfId="15" applyNumberFormat="1" applyFont="1" applyFill="1" applyBorder="1" applyAlignment="1">
      <alignment vertical="center"/>
    </xf>
    <xf numFmtId="169" fontId="2" fillId="7" borderId="9" xfId="15" applyNumberFormat="1" applyFont="1" applyFill="1" applyBorder="1" applyAlignment="1">
      <alignment horizontal="right" vertical="center"/>
    </xf>
    <xf numFmtId="169" fontId="2" fillId="7" borderId="49" xfId="15" applyNumberFormat="1" applyFont="1" applyFill="1" applyBorder="1" applyAlignment="1">
      <alignment vertical="center"/>
    </xf>
    <xf numFmtId="169" fontId="2" fillId="7" borderId="19" xfId="15" applyNumberFormat="1" applyFont="1" applyFill="1" applyBorder="1" applyAlignment="1">
      <alignment vertical="center"/>
    </xf>
    <xf numFmtId="169" fontId="2" fillId="7" borderId="20" xfId="15" applyNumberFormat="1" applyFont="1" applyFill="1" applyBorder="1" applyAlignment="1">
      <alignment vertical="center"/>
    </xf>
    <xf numFmtId="169" fontId="2" fillId="13" borderId="9" xfId="15" applyNumberFormat="1" applyFont="1" applyFill="1" applyBorder="1" applyAlignment="1">
      <alignment horizontal="right" vertical="center"/>
    </xf>
    <xf numFmtId="169" fontId="2" fillId="13" borderId="9" xfId="15" applyNumberFormat="1" applyFont="1" applyFill="1" applyBorder="1" applyAlignment="1">
      <alignment vertical="center"/>
    </xf>
    <xf numFmtId="164" fontId="2" fillId="22" borderId="56" xfId="0" applyNumberFormat="1" applyFont="1" applyFill="1" applyBorder="1" applyAlignment="1">
      <alignment horizontal="center" vertical="center" wrapText="1"/>
    </xf>
    <xf numFmtId="164" fontId="2" fillId="22" borderId="9" xfId="0" applyNumberFormat="1" applyFont="1" applyFill="1" applyBorder="1" applyAlignment="1">
      <alignment horizontal="center" vertical="center" wrapText="1"/>
    </xf>
    <xf numFmtId="3" fontId="2" fillId="22" borderId="9" xfId="0" applyNumberFormat="1" applyFont="1" applyFill="1" applyBorder="1" applyAlignment="1">
      <alignment horizontal="center" vertical="center" wrapText="1"/>
    </xf>
    <xf numFmtId="3" fontId="2" fillId="22" borderId="30" xfId="0" applyNumberFormat="1" applyFont="1" applyFill="1" applyBorder="1" applyAlignment="1">
      <alignment horizontal="center" vertical="center"/>
    </xf>
    <xf numFmtId="3" fontId="2" fillId="22" borderId="7" xfId="0" applyNumberFormat="1" applyFont="1" applyFill="1" applyBorder="1" applyAlignment="1">
      <alignment horizontal="center" vertical="center"/>
    </xf>
    <xf numFmtId="3" fontId="2" fillId="22" borderId="9" xfId="0" applyNumberFormat="1" applyFont="1" applyFill="1" applyBorder="1" applyAlignment="1">
      <alignment horizontal="center" vertical="center"/>
    </xf>
    <xf numFmtId="3" fontId="2" fillId="22" borderId="49" xfId="0" applyNumberFormat="1" applyFont="1" applyFill="1" applyBorder="1" applyAlignment="1">
      <alignment horizontal="center" vertical="center" wrapText="1"/>
    </xf>
    <xf numFmtId="3" fontId="2" fillId="22" borderId="19" xfId="0" applyNumberFormat="1" applyFont="1" applyFill="1" applyBorder="1" applyAlignment="1">
      <alignment horizontal="center" vertical="center" wrapText="1"/>
    </xf>
    <xf numFmtId="3" fontId="2" fillId="22" borderId="20" xfId="0" applyNumberFormat="1" applyFont="1" applyFill="1" applyBorder="1" applyAlignment="1">
      <alignment horizontal="center" vertical="center" wrapText="1"/>
    </xf>
    <xf numFmtId="164" fontId="2" fillId="4" borderId="40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164" fontId="2" fillId="4" borderId="56" xfId="0" applyNumberFormat="1" applyFont="1" applyFill="1" applyBorder="1" applyAlignment="1">
      <alignment horizontal="center" vertical="center" wrapText="1"/>
    </xf>
    <xf numFmtId="164" fontId="2" fillId="6" borderId="56" xfId="0" applyNumberFormat="1" applyFont="1" applyFill="1" applyBorder="1" applyAlignment="1">
      <alignment horizontal="center" vertical="center" wrapText="1"/>
    </xf>
    <xf numFmtId="3" fontId="2" fillId="4" borderId="49" xfId="0" applyNumberFormat="1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horizontal="center" vertical="center" wrapText="1"/>
    </xf>
    <xf numFmtId="3" fontId="2" fillId="4" borderId="20" xfId="0" applyNumberFormat="1" applyFont="1" applyFill="1" applyBorder="1" applyAlignment="1">
      <alignment horizontal="center" vertical="center" wrapText="1"/>
    </xf>
    <xf numFmtId="3" fontId="2" fillId="7" borderId="49" xfId="0" applyNumberFormat="1" applyFont="1" applyFill="1" applyBorder="1" applyAlignment="1">
      <alignment horizontal="center" vertical="center" wrapText="1"/>
    </xf>
    <xf numFmtId="3" fontId="2" fillId="7" borderId="19" xfId="0" applyNumberFormat="1" applyFont="1" applyFill="1" applyBorder="1" applyAlignment="1">
      <alignment horizontal="center" vertical="center" wrapText="1"/>
    </xf>
    <xf numFmtId="164" fontId="2" fillId="0" borderId="69" xfId="0" applyNumberFormat="1" applyFont="1" applyFill="1" applyBorder="1" applyAlignment="1">
      <alignment horizontal="center" vertical="center" wrapText="1"/>
    </xf>
    <xf numFmtId="0" fontId="2" fillId="9" borderId="63" xfId="0" applyFont="1" applyFill="1" applyBorder="1" applyAlignment="1">
      <alignment vertical="center"/>
    </xf>
    <xf numFmtId="3" fontId="2" fillId="17" borderId="7" xfId="0" applyNumberFormat="1" applyFont="1" applyFill="1" applyBorder="1" applyAlignment="1">
      <alignment vertical="center" wrapText="1"/>
    </xf>
    <xf numFmtId="3" fontId="2" fillId="7" borderId="7" xfId="0" applyNumberFormat="1" applyFont="1" applyFill="1" applyBorder="1" applyAlignment="1">
      <alignment vertical="center" wrapText="1"/>
    </xf>
    <xf numFmtId="164" fontId="2" fillId="12" borderId="62" xfId="0" applyNumberFormat="1" applyFont="1" applyFill="1" applyBorder="1" applyAlignment="1">
      <alignment horizontal="center" vertical="center"/>
    </xf>
    <xf numFmtId="3" fontId="2" fillId="12" borderId="64" xfId="0" applyNumberFormat="1" applyFont="1" applyFill="1" applyBorder="1" applyAlignment="1">
      <alignment vertical="center"/>
    </xf>
    <xf numFmtId="3" fontId="2" fillId="25" borderId="30" xfId="0" applyNumberFormat="1" applyFont="1" applyFill="1" applyBorder="1" applyAlignment="1">
      <alignment vertical="center"/>
    </xf>
    <xf numFmtId="3" fontId="2" fillId="25" borderId="9" xfId="0" applyNumberFormat="1" applyFont="1" applyFill="1" applyBorder="1" applyAlignment="1">
      <alignment vertical="center"/>
    </xf>
    <xf numFmtId="37" fontId="2" fillId="0" borderId="5" xfId="0" applyNumberFormat="1" applyFont="1" applyFill="1" applyBorder="1" applyAlignment="1">
      <alignment vertical="center"/>
    </xf>
    <xf numFmtId="37" fontId="2" fillId="17" borderId="9" xfId="0" applyNumberFormat="1" applyFont="1" applyFill="1" applyBorder="1" applyAlignment="1">
      <alignment vertical="center"/>
    </xf>
    <xf numFmtId="37" fontId="2" fillId="17" borderId="19" xfId="0" applyNumberFormat="1" applyFont="1" applyFill="1" applyBorder="1" applyAlignment="1">
      <alignment vertical="center"/>
    </xf>
    <xf numFmtId="37" fontId="2" fillId="17" borderId="20" xfId="0" applyNumberFormat="1" applyFont="1" applyFill="1" applyBorder="1" applyAlignment="1">
      <alignment vertical="center"/>
    </xf>
    <xf numFmtId="37" fontId="2" fillId="13" borderId="9" xfId="0" applyNumberFormat="1" applyFont="1" applyFill="1" applyBorder="1" applyAlignment="1">
      <alignment vertical="center"/>
    </xf>
    <xf numFmtId="164" fontId="2" fillId="18" borderId="56" xfId="22" applyNumberFormat="1" applyFont="1" applyFill="1" applyBorder="1" applyAlignment="1">
      <alignment horizontal="center" vertical="center"/>
    </xf>
    <xf numFmtId="3" fontId="2" fillId="18" borderId="10" xfId="0" applyNumberFormat="1" applyFont="1" applyFill="1" applyBorder="1" applyAlignment="1">
      <alignment horizontal="center" vertical="center"/>
    </xf>
    <xf numFmtId="3" fontId="2" fillId="17" borderId="9" xfId="0" applyNumberFormat="1" applyFont="1" applyFill="1" applyBorder="1" applyAlignment="1">
      <alignment horizontal="right" vertical="center" wrapText="1"/>
    </xf>
    <xf numFmtId="0" fontId="2" fillId="8" borderId="51" xfId="0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4" fontId="2" fillId="8" borderId="56" xfId="0" applyNumberFormat="1" applyFont="1" applyFill="1" applyBorder="1" applyAlignment="1">
      <alignment horizontal="center"/>
    </xf>
    <xf numFmtId="169" fontId="2" fillId="8" borderId="9" xfId="15" applyNumberFormat="1" applyFont="1" applyFill="1" applyBorder="1" applyAlignment="1">
      <alignment horizontal="center"/>
    </xf>
    <xf numFmtId="3" fontId="2" fillId="17" borderId="9" xfId="0" applyNumberFormat="1" applyFont="1" applyFill="1" applyBorder="1" applyAlignment="1">
      <alignment horizontal="center" vertical="center"/>
    </xf>
    <xf numFmtId="3" fontId="2" fillId="17" borderId="19" xfId="0" applyNumberFormat="1" applyFont="1" applyFill="1" applyBorder="1" applyAlignment="1">
      <alignment horizontal="center" vertical="center"/>
    </xf>
    <xf numFmtId="3" fontId="2" fillId="17" borderId="20" xfId="0" applyNumberFormat="1" applyFont="1" applyFill="1" applyBorder="1" applyAlignment="1">
      <alignment horizontal="center" vertical="center"/>
    </xf>
    <xf numFmtId="164" fontId="2" fillId="16" borderId="70" xfId="0" applyNumberFormat="1" applyFont="1" applyFill="1" applyBorder="1" applyAlignment="1">
      <alignment horizontal="center" vertical="center"/>
    </xf>
    <xf numFmtId="164" fontId="2" fillId="16" borderId="23" xfId="0" applyNumberFormat="1" applyFont="1" applyFill="1" applyBorder="1" applyAlignment="1">
      <alignment horizontal="center" vertical="center"/>
    </xf>
    <xf numFmtId="164" fontId="2" fillId="16" borderId="60" xfId="0" applyNumberFormat="1" applyFont="1" applyFill="1" applyBorder="1" applyAlignment="1">
      <alignment horizontal="center" vertical="center"/>
    </xf>
    <xf numFmtId="164" fontId="2" fillId="8" borderId="70" xfId="0" applyNumberFormat="1" applyFont="1" applyFill="1" applyBorder="1" applyAlignment="1">
      <alignment horizontal="center" vertical="center"/>
    </xf>
    <xf numFmtId="164" fontId="2" fillId="8" borderId="23" xfId="0" applyNumberFormat="1" applyFont="1" applyFill="1" applyBorder="1" applyAlignment="1">
      <alignment horizontal="center" vertical="center"/>
    </xf>
    <xf numFmtId="164" fontId="2" fillId="8" borderId="60" xfId="0" applyNumberFormat="1" applyFont="1" applyFill="1" applyBorder="1" applyAlignment="1">
      <alignment horizontal="center" vertical="center"/>
    </xf>
    <xf numFmtId="0" fontId="2" fillId="25" borderId="48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0" fontId="2" fillId="23" borderId="29" xfId="0" applyFont="1" applyFill="1" applyBorder="1" applyAlignment="1">
      <alignment horizontal="center" vertical="center"/>
    </xf>
    <xf numFmtId="3" fontId="2" fillId="23" borderId="7" xfId="0" applyNumberFormat="1" applyFont="1" applyFill="1" applyBorder="1" applyAlignment="1">
      <alignment vertical="center"/>
    </xf>
    <xf numFmtId="3" fontId="2" fillId="23" borderId="7" xfId="0" applyNumberFormat="1" applyFont="1" applyFill="1" applyBorder="1" applyAlignment="1">
      <alignment horizontal="right" vertical="center" wrapText="1"/>
    </xf>
    <xf numFmtId="164" fontId="2" fillId="13" borderId="69" xfId="0" applyNumberFormat="1" applyFont="1" applyFill="1" applyBorder="1" applyAlignment="1">
      <alignment horizontal="center" vertical="center" wrapText="1"/>
    </xf>
    <xf numFmtId="164" fontId="2" fillId="13" borderId="23" xfId="0" applyNumberFormat="1" applyFont="1" applyFill="1" applyBorder="1" applyAlignment="1">
      <alignment horizontal="center" vertical="center" wrapText="1"/>
    </xf>
    <xf numFmtId="164" fontId="2" fillId="13" borderId="66" xfId="0" applyNumberFormat="1" applyFont="1" applyFill="1" applyBorder="1" applyAlignment="1">
      <alignment horizontal="center" vertical="center" wrapText="1"/>
    </xf>
    <xf numFmtId="3" fontId="2" fillId="17" borderId="46" xfId="0" applyNumberFormat="1" applyFont="1" applyFill="1" applyBorder="1" applyAlignment="1">
      <alignment horizontal="center" vertical="center" wrapText="1"/>
    </xf>
    <xf numFmtId="3" fontId="2" fillId="17" borderId="8" xfId="0" applyNumberFormat="1" applyFont="1" applyFill="1" applyBorder="1" applyAlignment="1">
      <alignment horizontal="center" vertical="center" wrapText="1"/>
    </xf>
    <xf numFmtId="164" fontId="2" fillId="17" borderId="56" xfId="0" applyNumberFormat="1" applyFont="1" applyFill="1" applyBorder="1" applyAlignment="1">
      <alignment horizontal="center" vertical="center" wrapText="1"/>
    </xf>
    <xf numFmtId="3" fontId="2" fillId="17" borderId="10" xfId="0" applyNumberFormat="1" applyFont="1" applyFill="1" applyBorder="1" applyAlignment="1">
      <alignment horizontal="center" vertical="center" wrapText="1"/>
    </xf>
    <xf numFmtId="3" fontId="2" fillId="7" borderId="67" xfId="0" applyNumberFormat="1" applyFont="1" applyFill="1" applyBorder="1" applyAlignment="1">
      <alignment horizontal="center" vertical="center"/>
    </xf>
    <xf numFmtId="3" fontId="2" fillId="13" borderId="9" xfId="0" applyNumberFormat="1" applyFont="1" applyFill="1" applyBorder="1" applyAlignment="1">
      <alignment horizontal="center" vertical="center" wrapText="1"/>
    </xf>
    <xf numFmtId="164" fontId="2" fillId="13" borderId="70" xfId="0" applyNumberFormat="1" applyFont="1" applyFill="1" applyBorder="1" applyAlignment="1">
      <alignment horizontal="center" vertical="center"/>
    </xf>
    <xf numFmtId="164" fontId="2" fillId="13" borderId="23" xfId="0" applyNumberFormat="1" applyFont="1" applyFill="1" applyBorder="1" applyAlignment="1">
      <alignment horizontal="center" vertical="center"/>
    </xf>
    <xf numFmtId="164" fontId="2" fillId="13" borderId="60" xfId="0" applyNumberFormat="1" applyFont="1" applyFill="1" applyBorder="1" applyAlignment="1">
      <alignment horizontal="center" vertical="center"/>
    </xf>
    <xf numFmtId="3" fontId="2" fillId="16" borderId="10" xfId="0" applyNumberFormat="1" applyFont="1" applyFill="1" applyBorder="1" applyAlignment="1">
      <alignment horizontal="center" vertical="center"/>
    </xf>
    <xf numFmtId="164" fontId="2" fillId="23" borderId="40" xfId="22" applyNumberFormat="1" applyFont="1" applyFill="1" applyBorder="1" applyAlignment="1">
      <alignment horizontal="center" vertical="center"/>
    </xf>
    <xf numFmtId="3" fontId="2" fillId="23" borderId="30" xfId="0" applyNumberFormat="1" applyFont="1" applyFill="1" applyBorder="1" applyAlignment="1">
      <alignment horizontal="right" vertical="center" wrapText="1"/>
    </xf>
    <xf numFmtId="164" fontId="2" fillId="23" borderId="14" xfId="22" applyNumberFormat="1" applyFont="1" applyFill="1" applyBorder="1" applyAlignment="1">
      <alignment horizontal="center" vertical="center"/>
    </xf>
    <xf numFmtId="164" fontId="2" fillId="23" borderId="56" xfId="22" applyNumberFormat="1" applyFont="1" applyFill="1" applyBorder="1" applyAlignment="1">
      <alignment horizontal="center" vertical="center"/>
    </xf>
    <xf numFmtId="3" fontId="2" fillId="23" borderId="9" xfId="0" applyNumberFormat="1" applyFont="1" applyFill="1" applyBorder="1" applyAlignment="1">
      <alignment horizontal="right" vertical="center" wrapText="1"/>
    </xf>
    <xf numFmtId="0" fontId="2" fillId="23" borderId="35" xfId="0" applyFont="1" applyFill="1" applyBorder="1" applyAlignment="1">
      <alignment horizontal="center" vertical="center" wrapText="1"/>
    </xf>
    <xf numFmtId="3" fontId="2" fillId="23" borderId="49" xfId="0" applyNumberFormat="1" applyFont="1" applyFill="1" applyBorder="1" applyAlignment="1">
      <alignment horizontal="right" vertical="center" wrapText="1"/>
    </xf>
    <xf numFmtId="3" fontId="2" fillId="23" borderId="19" xfId="0" applyNumberFormat="1" applyFont="1" applyFill="1" applyBorder="1" applyAlignment="1">
      <alignment horizontal="right" vertical="center" wrapText="1"/>
    </xf>
    <xf numFmtId="3" fontId="2" fillId="23" borderId="19" xfId="0" applyNumberFormat="1" applyFont="1" applyFill="1" applyBorder="1" applyAlignment="1">
      <alignment vertical="center"/>
    </xf>
    <xf numFmtId="3" fontId="2" fillId="23" borderId="20" xfId="0" applyNumberFormat="1" applyFont="1" applyFill="1" applyBorder="1" applyAlignment="1">
      <alignment vertical="center"/>
    </xf>
    <xf numFmtId="0" fontId="2" fillId="8" borderId="38" xfId="0" applyFont="1" applyFill="1" applyBorder="1" applyAlignment="1">
      <alignment horizontal="center" vertical="center" wrapText="1"/>
    </xf>
    <xf numFmtId="164" fontId="2" fillId="24" borderId="14" xfId="22" applyNumberFormat="1" applyFont="1" applyFill="1" applyBorder="1" applyAlignment="1">
      <alignment horizontal="center" vertical="center"/>
    </xf>
    <xf numFmtId="164" fontId="2" fillId="25" borderId="66" xfId="22" applyNumberFormat="1" applyFont="1" applyFill="1" applyBorder="1" applyAlignment="1">
      <alignment horizontal="center" vertical="center"/>
    </xf>
    <xf numFmtId="43" fontId="2" fillId="24" borderId="66" xfId="15" applyFont="1" applyFill="1" applyBorder="1" applyAlignment="1">
      <alignment horizontal="center" vertical="center"/>
    </xf>
    <xf numFmtId="164" fontId="2" fillId="0" borderId="69" xfId="22" applyNumberFormat="1" applyFont="1" applyFill="1" applyBorder="1" applyAlignment="1">
      <alignment horizontal="center" vertical="center"/>
    </xf>
    <xf numFmtId="3" fontId="2" fillId="16" borderId="64" xfId="0" applyNumberFormat="1" applyFont="1" applyFill="1" applyBorder="1" applyAlignment="1">
      <alignment horizontal="right" vertical="center" wrapText="1"/>
    </xf>
    <xf numFmtId="164" fontId="2" fillId="7" borderId="70" xfId="22" applyNumberFormat="1" applyFont="1" applyFill="1" applyBorder="1" applyAlignment="1">
      <alignment horizontal="center" vertical="center"/>
    </xf>
    <xf numFmtId="164" fontId="2" fillId="7" borderId="23" xfId="22" applyNumberFormat="1" applyFont="1" applyFill="1" applyBorder="1" applyAlignment="1">
      <alignment horizontal="center" vertical="center"/>
    </xf>
    <xf numFmtId="164" fontId="2" fillId="7" borderId="66" xfId="22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2" fillId="17" borderId="55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37" fontId="2" fillId="24" borderId="64" xfId="0" applyNumberFormat="1" applyFont="1" applyFill="1" applyBorder="1" applyAlignment="1" applyProtection="1">
      <alignment vertical="center"/>
      <protection/>
    </xf>
    <xf numFmtId="164" fontId="2" fillId="24" borderId="42" xfId="0" applyNumberFormat="1" applyFont="1" applyFill="1" applyBorder="1" applyAlignment="1">
      <alignment horizontal="center" vertical="center" wrapText="1"/>
    </xf>
    <xf numFmtId="164" fontId="2" fillId="24" borderId="26" xfId="0" applyNumberFormat="1" applyFont="1" applyFill="1" applyBorder="1" applyAlignment="1">
      <alignment horizontal="center"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67" xfId="0" applyNumberFormat="1" applyFont="1" applyFill="1" applyBorder="1" applyAlignment="1">
      <alignment horizontal="center" vertical="center"/>
    </xf>
    <xf numFmtId="37" fontId="2" fillId="8" borderId="30" xfId="0" applyNumberFormat="1" applyFont="1" applyFill="1" applyBorder="1" applyAlignment="1" applyProtection="1">
      <alignment vertical="center"/>
      <protection/>
    </xf>
    <xf numFmtId="37" fontId="2" fillId="8" borderId="9" xfId="0" applyNumberFormat="1" applyFont="1" applyFill="1" applyBorder="1" applyAlignment="1" applyProtection="1">
      <alignment vertical="center"/>
      <protection/>
    </xf>
    <xf numFmtId="0" fontId="2" fillId="3" borderId="4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164" fontId="2" fillId="3" borderId="40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3" fontId="2" fillId="3" borderId="30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164" fontId="2" fillId="3" borderId="56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37" fontId="2" fillId="3" borderId="30" xfId="0" applyNumberFormat="1" applyFont="1" applyFill="1" applyBorder="1" applyAlignment="1" applyProtection="1">
      <alignment vertical="center"/>
      <protection/>
    </xf>
    <xf numFmtId="3" fontId="2" fillId="3" borderId="30" xfId="0" applyNumberFormat="1" applyFont="1" applyFill="1" applyBorder="1" applyAlignment="1">
      <alignment horizontal="center" vertical="center"/>
    </xf>
    <xf numFmtId="3" fontId="2" fillId="4" borderId="30" xfId="0" applyNumberFormat="1" applyFont="1" applyFill="1" applyBorder="1" applyAlignment="1">
      <alignment horizontal="center" vertical="center"/>
    </xf>
    <xf numFmtId="3" fontId="2" fillId="4" borderId="46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7" fontId="2" fillId="3" borderId="9" xfId="0" applyNumberFormat="1" applyFont="1" applyFill="1" applyBorder="1" applyAlignment="1" applyProtection="1">
      <alignment vertical="center"/>
      <protection/>
    </xf>
    <xf numFmtId="3" fontId="2" fillId="3" borderId="9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37" fontId="2" fillId="4" borderId="7" xfId="0" applyNumberFormat="1" applyFont="1" applyFill="1" applyBorder="1" applyAlignment="1" applyProtection="1">
      <alignment/>
      <protection/>
    </xf>
    <xf numFmtId="164" fontId="2" fillId="7" borderId="64" xfId="0" applyNumberFormat="1" applyFont="1" applyFill="1" applyBorder="1" applyAlignment="1">
      <alignment horizontal="center" vertical="center" wrapText="1"/>
    </xf>
    <xf numFmtId="164" fontId="2" fillId="8" borderId="66" xfId="0" applyNumberFormat="1" applyFont="1" applyFill="1" applyBorder="1" applyAlignment="1">
      <alignment horizontal="center" vertical="center"/>
    </xf>
    <xf numFmtId="3" fontId="2" fillId="13" borderId="46" xfId="0" applyNumberFormat="1" applyFont="1" applyFill="1" applyBorder="1" applyAlignment="1">
      <alignment horizontal="right" vertical="center"/>
    </xf>
    <xf numFmtId="3" fontId="2" fillId="13" borderId="8" xfId="0" applyNumberFormat="1" applyFont="1" applyFill="1" applyBorder="1" applyAlignment="1">
      <alignment horizontal="right" vertical="center"/>
    </xf>
    <xf numFmtId="3" fontId="2" fillId="13" borderId="10" xfId="0" applyNumberFormat="1" applyFont="1" applyFill="1" applyBorder="1" applyAlignment="1">
      <alignment horizontal="right" vertical="center"/>
    </xf>
    <xf numFmtId="0" fontId="2" fillId="8" borderId="54" xfId="0" applyFont="1" applyFill="1" applyBorder="1" applyAlignment="1">
      <alignment horizontal="center" vertical="center"/>
    </xf>
    <xf numFmtId="164" fontId="2" fillId="0" borderId="60" xfId="0" applyNumberFormat="1" applyFont="1" applyFill="1" applyBorder="1" applyAlignment="1">
      <alignment horizontal="center" vertical="center" wrapText="1"/>
    </xf>
    <xf numFmtId="3" fontId="2" fillId="7" borderId="6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169" fontId="2" fillId="18" borderId="9" xfId="15" applyNumberFormat="1" applyFont="1" applyFill="1" applyBorder="1" applyAlignment="1">
      <alignment vertical="center"/>
    </xf>
    <xf numFmtId="0" fontId="2" fillId="5" borderId="4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23" borderId="24" xfId="0" applyFont="1" applyFill="1" applyBorder="1" applyAlignment="1">
      <alignment horizontal="center" vertical="center"/>
    </xf>
    <xf numFmtId="3" fontId="2" fillId="14" borderId="8" xfId="0" applyNumberFormat="1" applyFont="1" applyFill="1" applyBorder="1" applyAlignment="1">
      <alignment horizontal="right" vertical="center"/>
    </xf>
    <xf numFmtId="3" fontId="2" fillId="14" borderId="1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164" fontId="2" fillId="12" borderId="70" xfId="0" applyNumberFormat="1" applyFont="1" applyFill="1" applyBorder="1" applyAlignment="1">
      <alignment horizontal="center" vertical="center"/>
    </xf>
    <xf numFmtId="164" fontId="2" fillId="12" borderId="23" xfId="0" applyNumberFormat="1" applyFont="1" applyFill="1" applyBorder="1" applyAlignment="1">
      <alignment horizontal="center" vertical="center"/>
    </xf>
    <xf numFmtId="164" fontId="2" fillId="12" borderId="60" xfId="0" applyNumberFormat="1" applyFont="1" applyFill="1" applyBorder="1" applyAlignment="1">
      <alignment horizontal="center" vertical="center"/>
    </xf>
    <xf numFmtId="164" fontId="2" fillId="23" borderId="70" xfId="0" applyNumberFormat="1" applyFont="1" applyFill="1" applyBorder="1" applyAlignment="1">
      <alignment horizontal="center" vertical="center"/>
    </xf>
    <xf numFmtId="164" fontId="2" fillId="23" borderId="23" xfId="0" applyNumberFormat="1" applyFont="1" applyFill="1" applyBorder="1" applyAlignment="1">
      <alignment horizontal="center" vertical="center"/>
    </xf>
    <xf numFmtId="164" fontId="2" fillId="23" borderId="66" xfId="0" applyNumberFormat="1" applyFont="1" applyFill="1" applyBorder="1" applyAlignment="1">
      <alignment horizontal="center" vertical="center"/>
    </xf>
    <xf numFmtId="3" fontId="2" fillId="13" borderId="64" xfId="0" applyNumberFormat="1" applyFont="1" applyFill="1" applyBorder="1" applyAlignment="1">
      <alignment vertical="center"/>
    </xf>
    <xf numFmtId="3" fontId="2" fillId="13" borderId="6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16" borderId="49" xfId="0" applyNumberFormat="1" applyFont="1" applyFill="1" applyBorder="1" applyAlignment="1">
      <alignment horizontal="right" vertical="center" wrapText="1"/>
    </xf>
    <xf numFmtId="3" fontId="2" fillId="16" borderId="19" xfId="0" applyNumberFormat="1" applyFont="1" applyFill="1" applyBorder="1" applyAlignment="1">
      <alignment horizontal="right" vertical="center" wrapText="1"/>
    </xf>
    <xf numFmtId="3" fontId="2" fillId="16" borderId="20" xfId="0" applyNumberFormat="1" applyFont="1" applyFill="1" applyBorder="1" applyAlignment="1">
      <alignment horizontal="right" vertical="center" wrapText="1"/>
    </xf>
    <xf numFmtId="164" fontId="2" fillId="14" borderId="70" xfId="22" applyNumberFormat="1" applyFont="1" applyFill="1" applyBorder="1" applyAlignment="1">
      <alignment horizontal="center" vertical="center"/>
    </xf>
    <xf numFmtId="164" fontId="2" fillId="14" borderId="23" xfId="22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11" borderId="69" xfId="0" applyNumberFormat="1" applyFont="1" applyFill="1" applyBorder="1" applyAlignment="1">
      <alignment horizontal="right" vertical="center" wrapText="1"/>
    </xf>
    <xf numFmtId="0" fontId="2" fillId="11" borderId="33" xfId="0" applyFont="1" applyFill="1" applyBorder="1" applyAlignment="1">
      <alignment horizontal="center" vertical="center"/>
    </xf>
    <xf numFmtId="164" fontId="2" fillId="21" borderId="14" xfId="0" applyNumberFormat="1" applyFont="1" applyFill="1" applyBorder="1" applyAlignment="1">
      <alignment horizontal="center" vertical="center"/>
    </xf>
    <xf numFmtId="37" fontId="2" fillId="8" borderId="7" xfId="0" applyNumberFormat="1" applyFont="1" applyFill="1" applyBorder="1" applyAlignment="1" applyProtection="1">
      <alignment/>
      <protection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6" borderId="46" xfId="0" applyNumberFormat="1" applyFont="1" applyFill="1" applyBorder="1" applyAlignment="1">
      <alignment horizontal="center" vertical="center" wrapText="1"/>
    </xf>
    <xf numFmtId="3" fontId="2" fillId="6" borderId="8" xfId="0" applyNumberFormat="1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164" fontId="2" fillId="7" borderId="15" xfId="22" applyNumberFormat="1" applyFont="1" applyFill="1" applyBorder="1" applyAlignment="1">
      <alignment horizontal="center" vertical="center"/>
    </xf>
    <xf numFmtId="3" fontId="2" fillId="7" borderId="6" xfId="0" applyNumberFormat="1" applyFont="1" applyFill="1" applyBorder="1" applyAlignment="1">
      <alignment horizontal="right" vertical="center" wrapText="1"/>
    </xf>
    <xf numFmtId="164" fontId="2" fillId="16" borderId="15" xfId="22" applyNumberFormat="1" applyFont="1" applyFill="1" applyBorder="1" applyAlignment="1">
      <alignment horizontal="center" vertical="center"/>
    </xf>
    <xf numFmtId="3" fontId="2" fillId="16" borderId="5" xfId="0" applyNumberFormat="1" applyFont="1" applyFill="1" applyBorder="1" applyAlignment="1">
      <alignment horizontal="right" vertical="center" wrapText="1"/>
    </xf>
    <xf numFmtId="164" fontId="2" fillId="13" borderId="15" xfId="22" applyNumberFormat="1" applyFont="1" applyFill="1" applyBorder="1" applyAlignment="1">
      <alignment horizontal="center" vertical="center"/>
    </xf>
    <xf numFmtId="164" fontId="2" fillId="8" borderId="15" xfId="22" applyNumberFormat="1" applyFont="1" applyFill="1" applyBorder="1" applyAlignment="1">
      <alignment horizontal="center" vertical="center"/>
    </xf>
    <xf numFmtId="3" fontId="2" fillId="14" borderId="30" xfId="0" applyNumberFormat="1" applyFont="1" applyFill="1" applyBorder="1" applyAlignment="1">
      <alignment vertical="center"/>
    </xf>
    <xf numFmtId="3" fontId="2" fillId="17" borderId="10" xfId="0" applyNumberFormat="1" applyFont="1" applyFill="1" applyBorder="1" applyAlignment="1">
      <alignment vertical="center"/>
    </xf>
    <xf numFmtId="164" fontId="2" fillId="14" borderId="56" xfId="22" applyNumberFormat="1" applyFont="1" applyFill="1" applyBorder="1" applyAlignment="1">
      <alignment horizontal="center" vertical="center"/>
    </xf>
    <xf numFmtId="169" fontId="2" fillId="0" borderId="46" xfId="15" applyNumberFormat="1" applyFont="1" applyFill="1" applyBorder="1" applyAlignment="1">
      <alignment horizontal="center" vertical="center" wrapText="1"/>
    </xf>
    <xf numFmtId="164" fontId="2" fillId="23" borderId="40" xfId="0" applyNumberFormat="1" applyFont="1" applyFill="1" applyBorder="1" applyAlignment="1">
      <alignment horizontal="center" vertical="center"/>
    </xf>
    <xf numFmtId="169" fontId="2" fillId="23" borderId="7" xfId="15" applyNumberFormat="1" applyFont="1" applyFill="1" applyBorder="1" applyAlignment="1">
      <alignment horizontal="center" vertical="center"/>
    </xf>
    <xf numFmtId="169" fontId="2" fillId="23" borderId="7" xfId="15" applyNumberFormat="1" applyFont="1" applyFill="1" applyBorder="1" applyAlignment="1">
      <alignment vertical="center"/>
    </xf>
    <xf numFmtId="164" fontId="2" fillId="23" borderId="56" xfId="0" applyNumberFormat="1" applyFont="1" applyFill="1" applyBorder="1" applyAlignment="1">
      <alignment horizontal="center" vertical="center"/>
    </xf>
    <xf numFmtId="169" fontId="2" fillId="23" borderId="9" xfId="15" applyNumberFormat="1" applyFont="1" applyFill="1" applyBorder="1" applyAlignment="1">
      <alignment vertical="center"/>
    </xf>
    <xf numFmtId="3" fontId="2" fillId="8" borderId="75" xfId="0" applyNumberFormat="1" applyFont="1" applyFill="1" applyBorder="1" applyAlignment="1">
      <alignment horizontal="center" vertical="center" wrapText="1"/>
    </xf>
    <xf numFmtId="3" fontId="2" fillId="8" borderId="76" xfId="0" applyNumberFormat="1" applyFont="1" applyFill="1" applyBorder="1" applyAlignment="1">
      <alignment horizontal="center" vertical="center" wrapText="1"/>
    </xf>
    <xf numFmtId="3" fontId="2" fillId="8" borderId="77" xfId="0" applyNumberFormat="1" applyFont="1" applyFill="1" applyBorder="1" applyAlignment="1">
      <alignment horizontal="center" vertical="center" wrapText="1"/>
    </xf>
    <xf numFmtId="3" fontId="2" fillId="8" borderId="78" xfId="0" applyNumberFormat="1" applyFont="1" applyFill="1" applyBorder="1" applyAlignment="1">
      <alignment horizontal="center" vertical="center" wrapText="1"/>
    </xf>
    <xf numFmtId="3" fontId="2" fillId="8" borderId="79" xfId="0" applyNumberFormat="1" applyFont="1" applyFill="1" applyBorder="1" applyAlignment="1">
      <alignment horizontal="center" vertical="center" wrapText="1"/>
    </xf>
    <xf numFmtId="3" fontId="2" fillId="8" borderId="80" xfId="0" applyNumberFormat="1" applyFont="1" applyFill="1" applyBorder="1" applyAlignment="1">
      <alignment horizontal="center" vertical="center" wrapText="1"/>
    </xf>
    <xf numFmtId="3" fontId="2" fillId="8" borderId="81" xfId="0" applyNumberFormat="1" applyFont="1" applyFill="1" applyBorder="1" applyAlignment="1">
      <alignment horizontal="center" vertical="center" wrapText="1"/>
    </xf>
    <xf numFmtId="164" fontId="2" fillId="3" borderId="40" xfId="0" applyNumberFormat="1" applyFont="1" applyFill="1" applyBorder="1" applyAlignment="1">
      <alignment horizontal="center" vertical="center"/>
    </xf>
    <xf numFmtId="3" fontId="2" fillId="3" borderId="77" xfId="0" applyNumberFormat="1" applyFont="1" applyFill="1" applyBorder="1" applyAlignment="1">
      <alignment horizontal="center" vertical="center" wrapText="1"/>
    </xf>
    <xf numFmtId="3" fontId="2" fillId="3" borderId="78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/>
    </xf>
    <xf numFmtId="3" fontId="2" fillId="3" borderId="75" xfId="0" applyNumberFormat="1" applyFont="1" applyFill="1" applyBorder="1" applyAlignment="1">
      <alignment horizontal="center" vertical="center" wrapText="1"/>
    </xf>
    <xf numFmtId="3" fontId="2" fillId="3" borderId="79" xfId="0" applyNumberFormat="1" applyFont="1" applyFill="1" applyBorder="1" applyAlignment="1">
      <alignment horizontal="center" vertical="center" wrapText="1"/>
    </xf>
    <xf numFmtId="169" fontId="2" fillId="3" borderId="7" xfId="15" applyNumberFormat="1" applyFont="1" applyFill="1" applyBorder="1" applyAlignment="1">
      <alignment horizontal="center" vertical="center"/>
    </xf>
    <xf numFmtId="169" fontId="2" fillId="3" borderId="7" xfId="15" applyNumberFormat="1" applyFont="1" applyFill="1" applyBorder="1" applyAlignment="1">
      <alignment vertical="center"/>
    </xf>
    <xf numFmtId="3" fontId="2" fillId="3" borderId="76" xfId="0" applyNumberFormat="1" applyFont="1" applyFill="1" applyBorder="1" applyAlignment="1">
      <alignment horizontal="center" vertical="center" wrapText="1"/>
    </xf>
    <xf numFmtId="164" fontId="2" fillId="3" borderId="56" xfId="0" applyNumberFormat="1" applyFont="1" applyFill="1" applyBorder="1" applyAlignment="1">
      <alignment horizontal="center" vertical="center"/>
    </xf>
    <xf numFmtId="169" fontId="2" fillId="3" borderId="9" xfId="15" applyNumberFormat="1" applyFont="1" applyFill="1" applyBorder="1" applyAlignment="1">
      <alignment vertical="center"/>
    </xf>
    <xf numFmtId="3" fontId="2" fillId="3" borderId="80" xfId="0" applyNumberFormat="1" applyFont="1" applyFill="1" applyBorder="1" applyAlignment="1">
      <alignment horizontal="center" vertical="center" wrapText="1"/>
    </xf>
    <xf numFmtId="3" fontId="2" fillId="3" borderId="81" xfId="0" applyNumberFormat="1" applyFont="1" applyFill="1" applyBorder="1" applyAlignment="1">
      <alignment horizontal="center" vertical="center" wrapText="1"/>
    </xf>
    <xf numFmtId="0" fontId="2" fillId="23" borderId="82" xfId="0" applyFont="1" applyFill="1" applyBorder="1" applyAlignment="1">
      <alignment horizontal="center" vertical="center" wrapText="1"/>
    </xf>
    <xf numFmtId="0" fontId="2" fillId="23" borderId="30" xfId="0" applyFont="1" applyFill="1" applyBorder="1" applyAlignment="1">
      <alignment horizontal="center" vertical="center" wrapText="1"/>
    </xf>
    <xf numFmtId="0" fontId="2" fillId="23" borderId="83" xfId="0" applyFont="1" applyFill="1" applyBorder="1" applyAlignment="1">
      <alignment horizontal="center" vertical="center" wrapText="1"/>
    </xf>
    <xf numFmtId="0" fontId="2" fillId="23" borderId="7" xfId="0" applyFont="1" applyFill="1" applyBorder="1" applyAlignment="1">
      <alignment horizontal="center" vertical="center" wrapText="1"/>
    </xf>
    <xf numFmtId="0" fontId="2" fillId="23" borderId="84" xfId="0" applyFont="1" applyFill="1" applyBorder="1" applyAlignment="1">
      <alignment horizontal="center" vertical="center" wrapText="1"/>
    </xf>
    <xf numFmtId="3" fontId="2" fillId="23" borderId="83" xfId="0" applyNumberFormat="1" applyFont="1" applyFill="1" applyBorder="1" applyAlignment="1">
      <alignment horizontal="center" vertical="center" wrapText="1"/>
    </xf>
    <xf numFmtId="0" fontId="2" fillId="23" borderId="85" xfId="0" applyFont="1" applyFill="1" applyBorder="1" applyAlignment="1">
      <alignment horizontal="center" vertical="center" wrapText="1"/>
    </xf>
    <xf numFmtId="0" fontId="2" fillId="23" borderId="9" xfId="0" applyFont="1" applyFill="1" applyBorder="1" applyAlignment="1">
      <alignment horizontal="center" vertical="center" wrapText="1"/>
    </xf>
    <xf numFmtId="3" fontId="2" fillId="18" borderId="46" xfId="0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18" borderId="9" xfId="0" applyNumberFormat="1" applyFont="1" applyFill="1" applyBorder="1" applyAlignment="1">
      <alignment horizontal="center" vertical="center" wrapText="1"/>
    </xf>
    <xf numFmtId="3" fontId="2" fillId="18" borderId="10" xfId="0" applyNumberFormat="1" applyFont="1" applyFill="1" applyBorder="1" applyAlignment="1">
      <alignment horizontal="center" vertical="center" wrapText="1"/>
    </xf>
    <xf numFmtId="3" fontId="2" fillId="17" borderId="67" xfId="0" applyNumberFormat="1" applyFont="1" applyFill="1" applyBorder="1" applyAlignment="1">
      <alignment vertical="center"/>
    </xf>
    <xf numFmtId="169" fontId="2" fillId="8" borderId="7" xfId="0" applyNumberFormat="1" applyFont="1" applyFill="1" applyBorder="1" applyAlignment="1">
      <alignment horizontal="center" vertical="center"/>
    </xf>
    <xf numFmtId="164" fontId="2" fillId="17" borderId="56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41" fontId="2" fillId="17" borderId="23" xfId="15" applyNumberFormat="1" applyFont="1" applyFill="1" applyBorder="1" applyAlignment="1">
      <alignment horizontal="center" vertical="center"/>
    </xf>
    <xf numFmtId="41" fontId="2" fillId="17" borderId="60" xfId="15" applyNumberFormat="1" applyFont="1" applyFill="1" applyBorder="1" applyAlignment="1">
      <alignment horizontal="center" vertical="center"/>
    </xf>
    <xf numFmtId="169" fontId="2" fillId="0" borderId="9" xfId="15" applyNumberFormat="1" applyFont="1" applyFill="1" applyBorder="1" applyAlignment="1">
      <alignment vertical="center" wrapText="1"/>
    </xf>
    <xf numFmtId="0" fontId="2" fillId="22" borderId="61" xfId="0" applyFont="1" applyFill="1" applyBorder="1" applyAlignment="1">
      <alignment horizontal="left" vertical="center"/>
    </xf>
    <xf numFmtId="0" fontId="2" fillId="22" borderId="12" xfId="0" applyFont="1" applyFill="1" applyBorder="1" applyAlignment="1">
      <alignment horizontal="left" vertical="center"/>
    </xf>
    <xf numFmtId="0" fontId="2" fillId="22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3" fontId="2" fillId="13" borderId="30" xfId="0" applyNumberFormat="1" applyFont="1" applyFill="1" applyBorder="1" applyAlignment="1">
      <alignment vertical="center" wrapText="1"/>
    </xf>
    <xf numFmtId="3" fontId="2" fillId="13" borderId="10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40" xfId="0" applyNumberFormat="1" applyFont="1" applyFill="1" applyBorder="1" applyAlignment="1">
      <alignment horizontal="right" vertical="center"/>
    </xf>
    <xf numFmtId="164" fontId="2" fillId="7" borderId="15" xfId="0" applyNumberFormat="1" applyFont="1" applyFill="1" applyBorder="1" applyAlignment="1">
      <alignment horizontal="center" vertical="center"/>
    </xf>
    <xf numFmtId="164" fontId="2" fillId="7" borderId="7" xfId="0" applyNumberFormat="1" applyFont="1" applyFill="1" applyBorder="1" applyAlignment="1">
      <alignment horizontal="center" vertical="center"/>
    </xf>
    <xf numFmtId="3" fontId="2" fillId="23" borderId="30" xfId="0" applyNumberFormat="1" applyFont="1" applyFill="1" applyBorder="1" applyAlignment="1">
      <alignment horizontal="center" vertical="center"/>
    </xf>
    <xf numFmtId="3" fontId="2" fillId="23" borderId="49" xfId="0" applyNumberFormat="1" applyFont="1" applyFill="1" applyBorder="1" applyAlignment="1">
      <alignment horizontal="center" vertical="center"/>
    </xf>
    <xf numFmtId="3" fontId="2" fillId="23" borderId="7" xfId="0" applyNumberFormat="1" applyFont="1" applyFill="1" applyBorder="1" applyAlignment="1">
      <alignment horizontal="center" vertical="center"/>
    </xf>
    <xf numFmtId="3" fontId="2" fillId="23" borderId="19" xfId="0" applyNumberFormat="1" applyFont="1" applyFill="1" applyBorder="1" applyAlignment="1">
      <alignment horizontal="center" vertical="center"/>
    </xf>
    <xf numFmtId="0" fontId="2" fillId="23" borderId="48" xfId="0" applyFont="1" applyFill="1" applyBorder="1" applyAlignment="1">
      <alignment horizontal="center" vertical="center"/>
    </xf>
    <xf numFmtId="3" fontId="2" fillId="23" borderId="9" xfId="0" applyNumberFormat="1" applyFont="1" applyFill="1" applyBorder="1" applyAlignment="1">
      <alignment horizontal="center" vertical="center"/>
    </xf>
    <xf numFmtId="3" fontId="2" fillId="23" borderId="20" xfId="0" applyNumberFormat="1" applyFont="1" applyFill="1" applyBorder="1" applyAlignment="1">
      <alignment horizontal="center" vertical="center"/>
    </xf>
    <xf numFmtId="3" fontId="2" fillId="13" borderId="30" xfId="0" applyNumberFormat="1" applyFont="1" applyFill="1" applyBorder="1" applyAlignment="1">
      <alignment horizontal="center" vertical="center" wrapText="1"/>
    </xf>
    <xf numFmtId="37" fontId="2" fillId="17" borderId="7" xfId="0" applyNumberFormat="1" applyFont="1" applyFill="1" applyBorder="1" applyAlignment="1">
      <alignment/>
    </xf>
    <xf numFmtId="37" fontId="2" fillId="13" borderId="7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 horizontal="right" vertical="center"/>
    </xf>
    <xf numFmtId="37" fontId="2" fillId="0" borderId="7" xfId="0" applyNumberFormat="1" applyFont="1" applyBorder="1" applyAlignment="1" applyProtection="1">
      <alignment vertical="center"/>
      <protection/>
    </xf>
    <xf numFmtId="37" fontId="2" fillId="4" borderId="7" xfId="0" applyNumberFormat="1" applyFont="1" applyFill="1" applyBorder="1" applyAlignment="1" applyProtection="1">
      <alignment vertical="center"/>
      <protection/>
    </xf>
    <xf numFmtId="37" fontId="2" fillId="8" borderId="7" xfId="0" applyNumberFormat="1" applyFont="1" applyFill="1" applyBorder="1" applyAlignment="1" applyProtection="1">
      <alignment vertical="center"/>
      <protection/>
    </xf>
    <xf numFmtId="37" fontId="2" fillId="25" borderId="7" xfId="0" applyNumberFormat="1" applyFont="1" applyFill="1" applyBorder="1" applyAlignment="1" applyProtection="1">
      <alignment vertical="center"/>
      <protection/>
    </xf>
    <xf numFmtId="3" fontId="2" fillId="25" borderId="40" xfId="0" applyNumberFormat="1" applyFont="1" applyFill="1" applyBorder="1" applyAlignment="1">
      <alignment vertical="center"/>
    </xf>
    <xf numFmtId="3" fontId="2" fillId="25" borderId="14" xfId="0" applyNumberFormat="1" applyFont="1" applyFill="1" applyBorder="1" applyAlignment="1">
      <alignment vertical="center"/>
    </xf>
    <xf numFmtId="169" fontId="2" fillId="25" borderId="14" xfId="15" applyNumberFormat="1" applyFont="1" applyFill="1" applyBorder="1" applyAlignment="1">
      <alignment vertical="center"/>
    </xf>
    <xf numFmtId="169" fontId="2" fillId="25" borderId="7" xfId="15" applyNumberFormat="1" applyFont="1" applyFill="1" applyBorder="1" applyAlignment="1">
      <alignment vertical="center"/>
    </xf>
    <xf numFmtId="3" fontId="6" fillId="25" borderId="14" xfId="0" applyNumberFormat="1" applyFont="1" applyFill="1" applyBorder="1" applyAlignment="1">
      <alignment vertical="center"/>
    </xf>
    <xf numFmtId="3" fontId="6" fillId="25" borderId="7" xfId="0" applyNumberFormat="1" applyFont="1" applyFill="1" applyBorder="1" applyAlignment="1">
      <alignment vertical="center"/>
    </xf>
    <xf numFmtId="3" fontId="2" fillId="25" borderId="14" xfId="0" applyNumberFormat="1" applyFont="1" applyFill="1" applyBorder="1" applyAlignment="1">
      <alignment vertical="center" wrapText="1"/>
    </xf>
    <xf numFmtId="3" fontId="2" fillId="25" borderId="7" xfId="0" applyNumberFormat="1" applyFont="1" applyFill="1" applyBorder="1" applyAlignment="1">
      <alignment vertical="center" wrapText="1"/>
    </xf>
    <xf numFmtId="169" fontId="2" fillId="25" borderId="56" xfId="15" applyNumberFormat="1" applyFont="1" applyFill="1" applyBorder="1" applyAlignment="1">
      <alignment vertical="center"/>
    </xf>
    <xf numFmtId="169" fontId="2" fillId="25" borderId="9" xfId="15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>
      <alignment horizontal="right" wrapText="1"/>
    </xf>
    <xf numFmtId="3" fontId="2" fillId="14" borderId="6" xfId="0" applyNumberFormat="1" applyFont="1" applyFill="1" applyBorder="1" applyAlignment="1">
      <alignment/>
    </xf>
    <xf numFmtId="3" fontId="2" fillId="14" borderId="8" xfId="0" applyNumberFormat="1" applyFont="1" applyFill="1" applyBorder="1" applyAlignment="1">
      <alignment/>
    </xf>
    <xf numFmtId="164" fontId="2" fillId="14" borderId="14" xfId="0" applyNumberFormat="1" applyFont="1" applyFill="1" applyBorder="1" applyAlignment="1">
      <alignment horizontal="right" vertical="center" wrapText="1"/>
    </xf>
    <xf numFmtId="3" fontId="2" fillId="14" borderId="19" xfId="0" applyNumberFormat="1" applyFont="1" applyFill="1" applyBorder="1" applyAlignment="1">
      <alignment vertical="center"/>
    </xf>
    <xf numFmtId="164" fontId="2" fillId="19" borderId="40" xfId="0" applyNumberFormat="1" applyFont="1" applyFill="1" applyBorder="1" applyAlignment="1">
      <alignment horizontal="right" vertical="center" wrapText="1"/>
    </xf>
    <xf numFmtId="3" fontId="2" fillId="19" borderId="30" xfId="0" applyNumberFormat="1" applyFont="1" applyFill="1" applyBorder="1" applyAlignment="1">
      <alignment horizontal="right" vertical="center" wrapText="1"/>
    </xf>
    <xf numFmtId="3" fontId="2" fillId="19" borderId="30" xfId="0" applyNumberFormat="1" applyFont="1" applyFill="1" applyBorder="1" applyAlignment="1">
      <alignment vertical="center"/>
    </xf>
    <xf numFmtId="3" fontId="2" fillId="19" borderId="49" xfId="0" applyNumberFormat="1" applyFont="1" applyFill="1" applyBorder="1" applyAlignment="1">
      <alignment vertical="center"/>
    </xf>
    <xf numFmtId="164" fontId="2" fillId="20" borderId="40" xfId="0" applyNumberFormat="1" applyFont="1" applyFill="1" applyBorder="1" applyAlignment="1">
      <alignment horizontal="right" vertical="center" wrapText="1"/>
    </xf>
    <xf numFmtId="3" fontId="2" fillId="20" borderId="30" xfId="0" applyNumberFormat="1" applyFont="1" applyFill="1" applyBorder="1" applyAlignment="1">
      <alignment horizontal="right" vertical="center" wrapText="1"/>
    </xf>
    <xf numFmtId="3" fontId="2" fillId="20" borderId="46" xfId="0" applyNumberFormat="1" applyFont="1" applyFill="1" applyBorder="1" applyAlignment="1">
      <alignment horizontal="right" vertical="center" wrapText="1"/>
    </xf>
    <xf numFmtId="164" fontId="2" fillId="17" borderId="69" xfId="0" applyNumberFormat="1" applyFont="1" applyFill="1" applyBorder="1" applyAlignment="1">
      <alignment horizontal="right" vertical="center" wrapText="1"/>
    </xf>
    <xf numFmtId="3" fontId="2" fillId="17" borderId="5" xfId="0" applyNumberFormat="1" applyFont="1" applyFill="1" applyBorder="1" applyAlignment="1">
      <alignment horizontal="right" vertical="center" wrapText="1"/>
    </xf>
    <xf numFmtId="164" fontId="2" fillId="8" borderId="5" xfId="0" applyNumberFormat="1" applyFont="1" applyFill="1" applyBorder="1" applyAlignment="1">
      <alignment horizontal="right" vertical="center" wrapText="1"/>
    </xf>
    <xf numFmtId="164" fontId="2" fillId="19" borderId="14" xfId="0" applyNumberFormat="1" applyFont="1" applyFill="1" applyBorder="1" applyAlignment="1">
      <alignment horizontal="right" vertical="center" wrapText="1"/>
    </xf>
    <xf numFmtId="3" fontId="2" fillId="19" borderId="7" xfId="0" applyNumberFormat="1" applyFont="1" applyFill="1" applyBorder="1" applyAlignment="1">
      <alignment vertical="center"/>
    </xf>
    <xf numFmtId="3" fontId="2" fillId="19" borderId="19" xfId="0" applyNumberFormat="1" applyFont="1" applyFill="1" applyBorder="1" applyAlignment="1">
      <alignment vertical="center"/>
    </xf>
    <xf numFmtId="164" fontId="2" fillId="20" borderId="14" xfId="0" applyNumberFormat="1" applyFont="1" applyFill="1" applyBorder="1" applyAlignment="1">
      <alignment horizontal="right" vertical="center" wrapText="1"/>
    </xf>
    <xf numFmtId="3" fontId="2" fillId="20" borderId="7" xfId="0" applyNumberFormat="1" applyFont="1" applyFill="1" applyBorder="1" applyAlignment="1">
      <alignment horizontal="right" vertical="center" wrapText="1"/>
    </xf>
    <xf numFmtId="3" fontId="2" fillId="20" borderId="8" xfId="0" applyNumberFormat="1" applyFont="1" applyFill="1" applyBorder="1" applyAlignment="1">
      <alignment horizontal="right" vertical="center" wrapText="1"/>
    </xf>
    <xf numFmtId="164" fontId="2" fillId="17" borderId="23" xfId="0" applyNumberFormat="1" applyFont="1" applyFill="1" applyBorder="1" applyAlignment="1">
      <alignment horizontal="right" vertical="center" wrapText="1"/>
    </xf>
    <xf numFmtId="164" fontId="2" fillId="8" borderId="7" xfId="0" applyNumberFormat="1" applyFont="1" applyFill="1" applyBorder="1" applyAlignment="1">
      <alignment horizontal="right" vertical="center" wrapText="1"/>
    </xf>
    <xf numFmtId="164" fontId="2" fillId="14" borderId="62" xfId="0" applyNumberFormat="1" applyFont="1" applyFill="1" applyBorder="1" applyAlignment="1">
      <alignment horizontal="right" vertical="center" wrapText="1"/>
    </xf>
    <xf numFmtId="3" fontId="2" fillId="14" borderId="67" xfId="0" applyNumberFormat="1" applyFont="1" applyFill="1" applyBorder="1" applyAlignment="1">
      <alignment vertical="center"/>
    </xf>
    <xf numFmtId="164" fontId="2" fillId="19" borderId="56" xfId="0" applyNumberFormat="1" applyFont="1" applyFill="1" applyBorder="1" applyAlignment="1">
      <alignment horizontal="right" vertical="center" wrapText="1"/>
    </xf>
    <xf numFmtId="3" fontId="2" fillId="19" borderId="9" xfId="0" applyNumberFormat="1" applyFont="1" applyFill="1" applyBorder="1" applyAlignment="1">
      <alignment vertical="center"/>
    </xf>
    <xf numFmtId="3" fontId="2" fillId="19" borderId="20" xfId="0" applyNumberFormat="1" applyFont="1" applyFill="1" applyBorder="1" applyAlignment="1">
      <alignment vertical="center"/>
    </xf>
    <xf numFmtId="164" fontId="2" fillId="20" borderId="56" xfId="0" applyNumberFormat="1" applyFont="1" applyFill="1" applyBorder="1" applyAlignment="1">
      <alignment horizontal="right" vertical="center" wrapText="1"/>
    </xf>
    <xf numFmtId="3" fontId="2" fillId="20" borderId="9" xfId="0" applyNumberFormat="1" applyFont="1" applyFill="1" applyBorder="1" applyAlignment="1">
      <alignment horizontal="right" vertical="center" wrapText="1"/>
    </xf>
    <xf numFmtId="3" fontId="2" fillId="20" borderId="10" xfId="0" applyNumberFormat="1" applyFont="1" applyFill="1" applyBorder="1" applyAlignment="1">
      <alignment horizontal="right" vertical="center" wrapText="1"/>
    </xf>
    <xf numFmtId="164" fontId="2" fillId="0" borderId="40" xfId="0" applyNumberFormat="1" applyFont="1" applyFill="1" applyBorder="1" applyAlignment="1">
      <alignment horizontal="right" vertical="center" wrapText="1"/>
    </xf>
    <xf numFmtId="164" fontId="2" fillId="0" borderId="15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164" fontId="2" fillId="0" borderId="69" xfId="0" applyNumberFormat="1" applyFont="1" applyFill="1" applyBorder="1" applyAlignment="1">
      <alignment horizontal="right" vertical="center" wrapText="1"/>
    </xf>
    <xf numFmtId="164" fontId="2" fillId="0" borderId="56" xfId="0" applyNumberFormat="1" applyFont="1" applyFill="1" applyBorder="1" applyAlignment="1">
      <alignment horizontal="right" vertical="center" wrapText="1"/>
    </xf>
    <xf numFmtId="3" fontId="2" fillId="0" borderId="6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164" fontId="2" fillId="0" borderId="60" xfId="0" applyNumberFormat="1" applyFont="1" applyFill="1" applyBorder="1" applyAlignment="1">
      <alignment horizontal="right" vertical="center" wrapText="1"/>
    </xf>
    <xf numFmtId="164" fontId="2" fillId="14" borderId="62" xfId="0" applyNumberFormat="1" applyFont="1" applyFill="1" applyBorder="1" applyAlignment="1">
      <alignment horizontal="right" wrapText="1"/>
    </xf>
    <xf numFmtId="3" fontId="2" fillId="14" borderId="64" xfId="0" applyNumberFormat="1" applyFont="1" applyFill="1" applyBorder="1" applyAlignment="1">
      <alignment/>
    </xf>
    <xf numFmtId="3" fontId="2" fillId="14" borderId="65" xfId="0" applyNumberFormat="1" applyFont="1" applyFill="1" applyBorder="1" applyAlignment="1">
      <alignment/>
    </xf>
    <xf numFmtId="164" fontId="2" fillId="0" borderId="40" xfId="0" applyNumberFormat="1" applyFont="1" applyFill="1" applyBorder="1" applyAlignment="1">
      <alignment horizontal="right" wrapText="1"/>
    </xf>
    <xf numFmtId="3" fontId="2" fillId="0" borderId="46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" fontId="2" fillId="8" borderId="69" xfId="0" applyNumberFormat="1" applyFont="1" applyFill="1" applyBorder="1" applyAlignment="1">
      <alignment horizontal="center" vertical="center" wrapText="1"/>
    </xf>
    <xf numFmtId="3" fontId="2" fillId="11" borderId="69" xfId="0" applyNumberFormat="1" applyFont="1" applyFill="1" applyBorder="1" applyAlignment="1">
      <alignment horizontal="center" vertical="center" wrapText="1"/>
    </xf>
    <xf numFmtId="3" fontId="2" fillId="7" borderId="69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69" fontId="2" fillId="23" borderId="7" xfId="15" applyNumberFormat="1" applyFont="1" applyFill="1" applyBorder="1" applyAlignment="1">
      <alignment horizontal="center" vertical="center"/>
    </xf>
    <xf numFmtId="169" fontId="2" fillId="12" borderId="7" xfId="15" applyNumberFormat="1" applyFont="1" applyFill="1" applyBorder="1" applyAlignment="1">
      <alignment horizontal="center" vertical="center"/>
    </xf>
    <xf numFmtId="169" fontId="2" fillId="7" borderId="7" xfId="15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43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1" fillId="9" borderId="29" xfId="0" applyFont="1" applyFill="1" applyBorder="1" applyAlignment="1">
      <alignment vertical="center"/>
    </xf>
    <xf numFmtId="0" fontId="1" fillId="14" borderId="42" xfId="0" applyFont="1" applyFill="1" applyBorder="1" applyAlignment="1">
      <alignment vertical="center"/>
    </xf>
    <xf numFmtId="0" fontId="1" fillId="14" borderId="2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9" borderId="6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9" borderId="12" xfId="0" applyFont="1" applyFill="1" applyBorder="1" applyAlignment="1">
      <alignment vertical="center"/>
    </xf>
    <xf numFmtId="0" fontId="2" fillId="9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3" fontId="2" fillId="17" borderId="8" xfId="0" applyNumberFormat="1" applyFont="1" applyFill="1" applyBorder="1" applyAlignment="1">
      <alignment horizontal="right" vertical="center" wrapText="1"/>
    </xf>
    <xf numFmtId="3" fontId="2" fillId="13" borderId="8" xfId="0" applyNumberFormat="1" applyFont="1" applyFill="1" applyBorder="1" applyAlignment="1">
      <alignment horizontal="right" vertical="center" wrapText="1"/>
    </xf>
    <xf numFmtId="3" fontId="2" fillId="7" borderId="18" xfId="0" applyNumberFormat="1" applyFont="1" applyFill="1" applyBorder="1" applyAlignment="1">
      <alignment horizontal="center" vertical="center"/>
    </xf>
    <xf numFmtId="3" fontId="2" fillId="14" borderId="46" xfId="0" applyNumberFormat="1" applyFont="1" applyFill="1" applyBorder="1" applyAlignment="1">
      <alignment horizontal="right" vertical="center"/>
    </xf>
    <xf numFmtId="0" fontId="2" fillId="18" borderId="4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vertical="center"/>
    </xf>
    <xf numFmtId="3" fontId="2" fillId="18" borderId="74" xfId="0" applyNumberFormat="1" applyFont="1" applyFill="1" applyBorder="1" applyAlignment="1">
      <alignment horizontal="center" vertical="center" wrapText="1"/>
    </xf>
    <xf numFmtId="3" fontId="2" fillId="18" borderId="74" xfId="0" applyNumberFormat="1" applyFont="1" applyFill="1" applyBorder="1" applyAlignment="1">
      <alignment horizontal="center" vertical="center"/>
    </xf>
    <xf numFmtId="3" fontId="2" fillId="14" borderId="74" xfId="0" applyNumberFormat="1" applyFont="1" applyFill="1" applyBorder="1" applyAlignment="1">
      <alignment horizontal="center" vertical="center" wrapText="1"/>
    </xf>
    <xf numFmtId="3" fontId="2" fillId="14" borderId="74" xfId="0" applyNumberFormat="1" applyFont="1" applyFill="1" applyBorder="1" applyAlignment="1">
      <alignment horizontal="center" vertical="center"/>
    </xf>
    <xf numFmtId="0" fontId="2" fillId="18" borderId="74" xfId="0" applyFont="1" applyFill="1" applyBorder="1" applyAlignment="1">
      <alignment horizontal="center" vertical="center"/>
    </xf>
    <xf numFmtId="0" fontId="2" fillId="14" borderId="74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74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164" fontId="2" fillId="18" borderId="86" xfId="0" applyNumberFormat="1" applyFont="1" applyFill="1" applyBorder="1" applyAlignment="1">
      <alignment horizontal="center" vertical="center" wrapText="1"/>
    </xf>
    <xf numFmtId="164" fontId="2" fillId="0" borderId="86" xfId="0" applyNumberFormat="1" applyFont="1" applyBorder="1" applyAlignment="1">
      <alignment horizontal="center" vertical="center" wrapText="1"/>
    </xf>
    <xf numFmtId="164" fontId="2" fillId="14" borderId="54" xfId="0" applyNumberFormat="1" applyFont="1" applyFill="1" applyBorder="1" applyAlignment="1">
      <alignment horizontal="center" vertical="center" wrapText="1"/>
    </xf>
    <xf numFmtId="164" fontId="2" fillId="14" borderId="74" xfId="0" applyNumberFormat="1" applyFont="1" applyFill="1" applyBorder="1" applyAlignment="1">
      <alignment horizontal="center" vertical="center" wrapText="1"/>
    </xf>
    <xf numFmtId="164" fontId="2" fillId="0" borderId="74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7" fontId="2" fillId="25" borderId="7" xfId="0" applyNumberFormat="1" applyFont="1" applyFill="1" applyBorder="1" applyAlignment="1" applyProtection="1">
      <alignment horizontal="center" vertical="center"/>
      <protection/>
    </xf>
    <xf numFmtId="164" fontId="2" fillId="14" borderId="66" xfId="22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169" fontId="1" fillId="0" borderId="40" xfId="15" applyNumberFormat="1" applyFont="1" applyFill="1" applyBorder="1" applyAlignment="1">
      <alignment horizontal="center" vertical="center"/>
    </xf>
    <xf numFmtId="169" fontId="1" fillId="0" borderId="14" xfId="15" applyNumberFormat="1" applyFont="1" applyFill="1" applyBorder="1" applyAlignment="1">
      <alignment horizontal="center" vertical="center"/>
    </xf>
    <xf numFmtId="41" fontId="1" fillId="0" borderId="40" xfId="15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right" wrapText="1"/>
    </xf>
    <xf numFmtId="169" fontId="2" fillId="17" borderId="9" xfId="15" applyNumberFormat="1" applyFont="1" applyFill="1" applyBorder="1" applyAlignment="1">
      <alignment horizontal="right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center" vertical="center" wrapText="1"/>
    </xf>
    <xf numFmtId="169" fontId="2" fillId="25" borderId="30" xfId="15" applyNumberFormat="1" applyFont="1" applyFill="1" applyBorder="1" applyAlignment="1">
      <alignment horizontal="center" vertical="center" wrapText="1"/>
    </xf>
    <xf numFmtId="0" fontId="2" fillId="25" borderId="7" xfId="0" applyFont="1" applyFill="1" applyBorder="1" applyAlignment="1">
      <alignment horizontal="center" vertical="center" wrapText="1"/>
    </xf>
    <xf numFmtId="169" fontId="2" fillId="25" borderId="7" xfId="15" applyNumberFormat="1" applyFont="1" applyFill="1" applyBorder="1" applyAlignment="1">
      <alignment horizontal="center" vertical="center" wrapText="1"/>
    </xf>
    <xf numFmtId="169" fontId="2" fillId="25" borderId="9" xfId="15" applyNumberFormat="1" applyFont="1" applyFill="1" applyBorder="1" applyAlignment="1">
      <alignment horizontal="center" vertical="center" wrapText="1"/>
    </xf>
    <xf numFmtId="0" fontId="2" fillId="25" borderId="9" xfId="0" applyFont="1" applyFill="1" applyBorder="1" applyAlignment="1">
      <alignment horizontal="center" vertical="center" wrapText="1"/>
    </xf>
    <xf numFmtId="0" fontId="2" fillId="25" borderId="49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right" vertical="center" wrapText="1"/>
    </xf>
    <xf numFmtId="0" fontId="2" fillId="25" borderId="7" xfId="0" applyFont="1" applyFill="1" applyBorder="1" applyAlignment="1">
      <alignment horizontal="right" vertical="center" wrapText="1"/>
    </xf>
    <xf numFmtId="3" fontId="2" fillId="18" borderId="49" xfId="0" applyNumberFormat="1" applyFont="1" applyFill="1" applyBorder="1" applyAlignment="1">
      <alignment horizontal="right" vertical="center" wrapText="1"/>
    </xf>
    <xf numFmtId="3" fontId="2" fillId="18" borderId="19" xfId="0" applyNumberFormat="1" applyFont="1" applyFill="1" applyBorder="1" applyAlignment="1">
      <alignment horizontal="right" vertical="center" wrapText="1"/>
    </xf>
    <xf numFmtId="3" fontId="2" fillId="18" borderId="20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right" vertical="center" wrapText="1"/>
    </xf>
    <xf numFmtId="3" fontId="2" fillId="14" borderId="70" xfId="0" applyNumberFormat="1" applyFont="1" applyFill="1" applyBorder="1" applyAlignment="1">
      <alignment horizontal="right" vertical="center"/>
    </xf>
    <xf numFmtId="169" fontId="2" fillId="14" borderId="23" xfId="15" applyNumberFormat="1" applyFont="1" applyFill="1" applyBorder="1" applyAlignment="1">
      <alignment vertical="center"/>
    </xf>
    <xf numFmtId="169" fontId="2" fillId="14" borderId="23" xfId="15" applyNumberFormat="1" applyFont="1" applyFill="1" applyBorder="1" applyAlignment="1">
      <alignment horizontal="right" vertical="center"/>
    </xf>
    <xf numFmtId="169" fontId="2" fillId="14" borderId="23" xfId="15" applyNumberFormat="1" applyFont="1" applyFill="1" applyBorder="1" applyAlignment="1">
      <alignment horizontal="center" vertical="center"/>
    </xf>
    <xf numFmtId="3" fontId="2" fillId="14" borderId="23" xfId="0" applyNumberFormat="1" applyFont="1" applyFill="1" applyBorder="1" applyAlignment="1">
      <alignment horizontal="right" vertical="center"/>
    </xf>
    <xf numFmtId="169" fontId="2" fillId="14" borderId="23" xfId="15" applyNumberFormat="1" applyFont="1" applyFill="1" applyBorder="1" applyAlignment="1">
      <alignment/>
    </xf>
    <xf numFmtId="3" fontId="2" fillId="14" borderId="23" xfId="0" applyNumberFormat="1" applyFont="1" applyFill="1" applyBorder="1" applyAlignment="1">
      <alignment vertical="center"/>
    </xf>
    <xf numFmtId="3" fontId="2" fillId="14" borderId="23" xfId="0" applyNumberFormat="1" applyFont="1" applyFill="1" applyBorder="1" applyAlignment="1">
      <alignment horizontal="right" vertical="center" wrapText="1"/>
    </xf>
    <xf numFmtId="169" fontId="2" fillId="14" borderId="60" xfId="15" applyNumberFormat="1" applyFont="1" applyFill="1" applyBorder="1" applyAlignment="1">
      <alignment horizontal="right" vertical="center"/>
    </xf>
    <xf numFmtId="3" fontId="2" fillId="23" borderId="7" xfId="0" applyNumberFormat="1" applyFont="1" applyFill="1" applyBorder="1" applyAlignment="1">
      <alignment horizontal="right" vertical="center"/>
    </xf>
    <xf numFmtId="169" fontId="2" fillId="23" borderId="7" xfId="15" applyNumberFormat="1" applyFont="1" applyFill="1" applyBorder="1" applyAlignment="1">
      <alignment horizontal="right" vertical="center"/>
    </xf>
    <xf numFmtId="3" fontId="2" fillId="23" borderId="30" xfId="0" applyNumberFormat="1" applyFont="1" applyFill="1" applyBorder="1" applyAlignment="1">
      <alignment horizontal="right" vertical="center"/>
    </xf>
    <xf numFmtId="164" fontId="2" fillId="23" borderId="46" xfId="22" applyNumberFormat="1" applyFont="1" applyFill="1" applyBorder="1" applyAlignment="1">
      <alignment horizontal="center" vertical="center"/>
    </xf>
    <xf numFmtId="164" fontId="2" fillId="23" borderId="8" xfId="22" applyNumberFormat="1" applyFont="1" applyFill="1" applyBorder="1" applyAlignment="1">
      <alignment horizontal="center" vertical="center"/>
    </xf>
    <xf numFmtId="169" fontId="2" fillId="23" borderId="9" xfId="15" applyNumberFormat="1" applyFont="1" applyFill="1" applyBorder="1" applyAlignment="1">
      <alignment horizontal="right" vertical="center"/>
    </xf>
    <xf numFmtId="164" fontId="2" fillId="23" borderId="10" xfId="22" applyNumberFormat="1" applyFont="1" applyFill="1" applyBorder="1" applyAlignment="1">
      <alignment horizontal="center" vertical="center"/>
    </xf>
    <xf numFmtId="164" fontId="2" fillId="18" borderId="70" xfId="22" applyNumberFormat="1" applyFont="1" applyFill="1" applyBorder="1" applyAlignment="1">
      <alignment horizontal="center" vertical="center"/>
    </xf>
    <xf numFmtId="164" fontId="2" fillId="18" borderId="23" xfId="22" applyNumberFormat="1" applyFont="1" applyFill="1" applyBorder="1" applyAlignment="1">
      <alignment horizontal="center" vertical="center"/>
    </xf>
    <xf numFmtId="164" fontId="2" fillId="18" borderId="60" xfId="22" applyNumberFormat="1" applyFont="1" applyFill="1" applyBorder="1" applyAlignment="1">
      <alignment horizontal="center" vertical="center"/>
    </xf>
    <xf numFmtId="37" fontId="2" fillId="13" borderId="46" xfId="0" applyNumberFormat="1" applyFont="1" applyFill="1" applyBorder="1" applyAlignment="1">
      <alignment vertical="center"/>
    </xf>
    <xf numFmtId="37" fontId="2" fillId="13" borderId="8" xfId="0" applyNumberFormat="1" applyFont="1" applyFill="1" applyBorder="1" applyAlignment="1">
      <alignment vertical="center"/>
    </xf>
    <xf numFmtId="37" fontId="2" fillId="13" borderId="10" xfId="0" applyNumberFormat="1" applyFont="1" applyFill="1" applyBorder="1" applyAlignment="1">
      <alignment vertical="center"/>
    </xf>
    <xf numFmtId="3" fontId="2" fillId="17" borderId="0" xfId="0" applyNumberFormat="1" applyFont="1" applyFill="1" applyAlignment="1">
      <alignment/>
    </xf>
    <xf numFmtId="169" fontId="2" fillId="18" borderId="74" xfId="15" applyNumberFormat="1" applyFont="1" applyFill="1" applyBorder="1" applyAlignment="1">
      <alignment horizontal="center" vertical="center"/>
    </xf>
    <xf numFmtId="169" fontId="2" fillId="14" borderId="74" xfId="15" applyNumberFormat="1" applyFont="1" applyFill="1" applyBorder="1" applyAlignment="1">
      <alignment horizontal="center" vertical="center"/>
    </xf>
    <xf numFmtId="37" fontId="2" fillId="13" borderId="23" xfId="0" applyNumberFormat="1" applyFont="1" applyFill="1" applyBorder="1" applyAlignment="1">
      <alignment vertical="center"/>
    </xf>
    <xf numFmtId="37" fontId="2" fillId="17" borderId="23" xfId="0" applyNumberFormat="1" applyFont="1" applyFill="1" applyBorder="1" applyAlignment="1">
      <alignment vertical="center"/>
    </xf>
    <xf numFmtId="3" fontId="2" fillId="18" borderId="7" xfId="0" applyNumberFormat="1" applyFont="1" applyFill="1" applyBorder="1" applyAlignment="1">
      <alignment horizontal="center"/>
    </xf>
    <xf numFmtId="0" fontId="2" fillId="18" borderId="35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18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3" fontId="2" fillId="8" borderId="14" xfId="0" applyNumberFormat="1" applyFont="1" applyFill="1" applyBorder="1" applyAlignment="1">
      <alignment horizontal="right" vertical="center"/>
    </xf>
    <xf numFmtId="3" fontId="2" fillId="13" borderId="9" xfId="0" applyNumberFormat="1" applyFont="1" applyFill="1" applyBorder="1" applyAlignment="1">
      <alignment vertical="center"/>
    </xf>
    <xf numFmtId="3" fontId="2" fillId="8" borderId="9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13" borderId="23" xfId="0" applyNumberFormat="1" applyFont="1" applyFill="1" applyBorder="1" applyAlignment="1">
      <alignment horizontal="right" vertical="center"/>
    </xf>
    <xf numFmtId="3" fontId="2" fillId="13" borderId="23" xfId="0" applyNumberFormat="1" applyFont="1" applyFill="1" applyBorder="1" applyAlignment="1">
      <alignment horizontal="center" vertical="center"/>
    </xf>
    <xf numFmtId="3" fontId="2" fillId="13" borderId="60" xfId="0" applyNumberFormat="1" applyFont="1" applyFill="1" applyBorder="1" applyAlignment="1">
      <alignment horizontal="center" vertical="center"/>
    </xf>
    <xf numFmtId="3" fontId="2" fillId="8" borderId="56" xfId="0" applyNumberFormat="1" applyFont="1" applyFill="1" applyBorder="1" applyAlignment="1">
      <alignment horizontal="right" vertical="center"/>
    </xf>
    <xf numFmtId="3" fontId="2" fillId="8" borderId="10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13" borderId="49" xfId="0" applyNumberFormat="1" applyFont="1" applyFill="1" applyBorder="1" applyAlignment="1">
      <alignment horizontal="right" vertical="center"/>
    </xf>
    <xf numFmtId="0" fontId="2" fillId="0" borderId="87" xfId="0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17" borderId="40" xfId="22" applyNumberFormat="1" applyFont="1" applyFill="1" applyBorder="1" applyAlignment="1">
      <alignment horizontal="center" vertical="center" wrapText="1"/>
    </xf>
    <xf numFmtId="164" fontId="2" fillId="7" borderId="40" xfId="22" applyNumberFormat="1" applyFont="1" applyFill="1" applyBorder="1" applyAlignment="1">
      <alignment horizontal="center" vertical="center" wrapText="1"/>
    </xf>
    <xf numFmtId="164" fontId="2" fillId="18" borderId="40" xfId="22" applyNumberFormat="1" applyFont="1" applyFill="1" applyBorder="1" applyAlignment="1">
      <alignment horizontal="center" vertical="center" wrapText="1"/>
    </xf>
    <xf numFmtId="3" fontId="2" fillId="18" borderId="46" xfId="0" applyNumberFormat="1" applyFont="1" applyFill="1" applyBorder="1" applyAlignment="1">
      <alignment horizontal="right" vertical="center" wrapText="1"/>
    </xf>
    <xf numFmtId="164" fontId="2" fillId="13" borderId="40" xfId="22" applyNumberFormat="1" applyFont="1" applyFill="1" applyBorder="1" applyAlignment="1">
      <alignment horizontal="center" vertical="center" wrapText="1"/>
    </xf>
    <xf numFmtId="3" fontId="2" fillId="13" borderId="70" xfId="0" applyNumberFormat="1" applyFont="1" applyFill="1" applyBorder="1" applyAlignment="1">
      <alignment horizontal="right" vertical="center" wrapText="1"/>
    </xf>
    <xf numFmtId="164" fontId="2" fillId="8" borderId="40" xfId="22" applyNumberFormat="1" applyFont="1" applyFill="1" applyBorder="1" applyAlignment="1">
      <alignment horizontal="center" vertical="center" wrapText="1"/>
    </xf>
    <xf numFmtId="164" fontId="2" fillId="17" borderId="14" xfId="22" applyNumberFormat="1" applyFont="1" applyFill="1" applyBorder="1" applyAlignment="1">
      <alignment horizontal="center" vertical="center" wrapText="1"/>
    </xf>
    <xf numFmtId="164" fontId="2" fillId="7" borderId="14" xfId="22" applyNumberFormat="1" applyFont="1" applyFill="1" applyBorder="1" applyAlignment="1">
      <alignment horizontal="center" vertical="center" wrapText="1"/>
    </xf>
    <xf numFmtId="164" fontId="2" fillId="18" borderId="14" xfId="22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right" vertical="center" wrapText="1"/>
    </xf>
    <xf numFmtId="164" fontId="2" fillId="13" borderId="14" xfId="22" applyNumberFormat="1" applyFont="1" applyFill="1" applyBorder="1" applyAlignment="1">
      <alignment horizontal="center" vertical="center" wrapText="1"/>
    </xf>
    <xf numFmtId="3" fontId="2" fillId="13" borderId="23" xfId="0" applyNumberFormat="1" applyFont="1" applyFill="1" applyBorder="1" applyAlignment="1">
      <alignment horizontal="right" vertical="center" wrapText="1"/>
    </xf>
    <xf numFmtId="164" fontId="2" fillId="8" borderId="14" xfId="22" applyNumberFormat="1" applyFont="1" applyFill="1" applyBorder="1" applyAlignment="1">
      <alignment horizontal="center" vertical="center" wrapText="1"/>
    </xf>
    <xf numFmtId="164" fontId="2" fillId="17" borderId="14" xfId="22" applyNumberFormat="1" applyFont="1" applyFill="1" applyBorder="1" applyAlignment="1">
      <alignment vertical="center"/>
    </xf>
    <xf numFmtId="3" fontId="2" fillId="7" borderId="14" xfId="0" applyNumberFormat="1" applyFont="1" applyFill="1" applyBorder="1" applyAlignment="1">
      <alignment vertical="center"/>
    </xf>
    <xf numFmtId="164" fontId="2" fillId="17" borderId="62" xfId="22" applyNumberFormat="1" applyFont="1" applyFill="1" applyBorder="1" applyAlignment="1">
      <alignment vertical="center"/>
    </xf>
    <xf numFmtId="3" fontId="2" fillId="7" borderId="56" xfId="0" applyNumberFormat="1" applyFont="1" applyFill="1" applyBorder="1" applyAlignment="1">
      <alignment vertical="center"/>
    </xf>
    <xf numFmtId="164" fontId="2" fillId="18" borderId="56" xfId="22" applyNumberFormat="1" applyFont="1" applyFill="1" applyBorder="1" applyAlignment="1">
      <alignment horizontal="center" vertical="center" wrapText="1"/>
    </xf>
    <xf numFmtId="3" fontId="2" fillId="18" borderId="10" xfId="0" applyNumberFormat="1" applyFont="1" applyFill="1" applyBorder="1" applyAlignment="1">
      <alignment horizontal="right" vertical="center" wrapText="1"/>
    </xf>
    <xf numFmtId="169" fontId="2" fillId="0" borderId="21" xfId="15" applyNumberFormat="1" applyFont="1" applyFill="1" applyBorder="1" applyAlignment="1">
      <alignment vertical="center"/>
    </xf>
    <xf numFmtId="164" fontId="2" fillId="0" borderId="70" xfId="22" applyNumberFormat="1" applyFont="1" applyFill="1" applyBorder="1" applyAlignment="1">
      <alignment horizontal="center" vertical="center" wrapText="1"/>
    </xf>
    <xf numFmtId="169" fontId="2" fillId="0" borderId="30" xfId="15" applyNumberFormat="1" applyFont="1" applyFill="1" applyBorder="1" applyAlignment="1">
      <alignment vertical="center"/>
    </xf>
    <xf numFmtId="164" fontId="2" fillId="0" borderId="40" xfId="22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169" fontId="2" fillId="0" borderId="0" xfId="15" applyNumberFormat="1" applyFont="1" applyFill="1" applyAlignment="1">
      <alignment vertical="center"/>
    </xf>
    <xf numFmtId="169" fontId="2" fillId="0" borderId="59" xfId="15" applyNumberFormat="1" applyFont="1" applyBorder="1" applyAlignment="1">
      <alignment vertical="center"/>
    </xf>
    <xf numFmtId="164" fontId="2" fillId="0" borderId="60" xfId="22" applyNumberFormat="1" applyFont="1" applyFill="1" applyBorder="1" applyAlignment="1">
      <alignment horizontal="center" vertical="center" wrapText="1"/>
    </xf>
    <xf numFmtId="169" fontId="2" fillId="0" borderId="9" xfId="15" applyNumberFormat="1" applyFont="1" applyFill="1" applyBorder="1" applyAlignment="1">
      <alignment vertical="center"/>
    </xf>
    <xf numFmtId="169" fontId="2" fillId="0" borderId="10" xfId="15" applyNumberFormat="1" applyFont="1" applyFill="1" applyBorder="1" applyAlignment="1">
      <alignment vertical="center"/>
    </xf>
    <xf numFmtId="164" fontId="2" fillId="0" borderId="56" xfId="22" applyNumberFormat="1" applyFont="1" applyFill="1" applyBorder="1" applyAlignment="1">
      <alignment horizontal="center" vertical="center" wrapText="1"/>
    </xf>
    <xf numFmtId="169" fontId="2" fillId="0" borderId="0" xfId="15" applyNumberFormat="1" applyFont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169" fontId="2" fillId="25" borderId="14" xfId="15" applyNumberFormat="1" applyFont="1" applyFill="1" applyBorder="1" applyAlignment="1">
      <alignment horizontal="right" vertical="center"/>
    </xf>
    <xf numFmtId="169" fontId="2" fillId="25" borderId="7" xfId="15" applyNumberFormat="1" applyFont="1" applyFill="1" applyBorder="1" applyAlignment="1">
      <alignment horizontal="right" vertical="center"/>
    </xf>
    <xf numFmtId="3" fontId="2" fillId="17" borderId="49" xfId="0" applyNumberFormat="1" applyFont="1" applyFill="1" applyBorder="1" applyAlignment="1">
      <alignment horizontal="center" vertical="center"/>
    </xf>
    <xf numFmtId="164" fontId="2" fillId="22" borderId="40" xfId="0" applyNumberFormat="1" applyFont="1" applyFill="1" applyBorder="1" applyAlignment="1">
      <alignment horizontal="center" vertical="center"/>
    </xf>
    <xf numFmtId="3" fontId="2" fillId="22" borderId="46" xfId="0" applyNumberFormat="1" applyFont="1" applyFill="1" applyBorder="1" applyAlignment="1">
      <alignment horizontal="center" vertical="center"/>
    </xf>
    <xf numFmtId="164" fontId="2" fillId="22" borderId="14" xfId="0" applyNumberFormat="1" applyFont="1" applyFill="1" applyBorder="1" applyAlignment="1">
      <alignment horizontal="center" vertical="center"/>
    </xf>
    <xf numFmtId="3" fontId="2" fillId="22" borderId="8" xfId="0" applyNumberFormat="1" applyFont="1" applyFill="1" applyBorder="1" applyAlignment="1">
      <alignment horizontal="center" vertical="center"/>
    </xf>
    <xf numFmtId="164" fontId="2" fillId="22" borderId="56" xfId="0" applyNumberFormat="1" applyFont="1" applyFill="1" applyBorder="1" applyAlignment="1">
      <alignment horizontal="center" vertical="center"/>
    </xf>
    <xf numFmtId="3" fontId="2" fillId="22" borderId="10" xfId="0" applyNumberFormat="1" applyFont="1" applyFill="1" applyBorder="1" applyAlignment="1">
      <alignment horizontal="center" vertical="center"/>
    </xf>
    <xf numFmtId="3" fontId="2" fillId="7" borderId="69" xfId="0" applyNumberFormat="1" applyFont="1" applyFill="1" applyBorder="1" applyAlignment="1">
      <alignment horizontal="center" vertical="center"/>
    </xf>
    <xf numFmtId="3" fontId="2" fillId="18" borderId="69" xfId="0" applyNumberFormat="1" applyFont="1" applyFill="1" applyBorder="1" applyAlignment="1">
      <alignment horizontal="center" vertical="center" wrapText="1"/>
    </xf>
    <xf numFmtId="3" fontId="2" fillId="18" borderId="88" xfId="0" applyNumberFormat="1" applyFont="1" applyFill="1" applyBorder="1" applyAlignment="1">
      <alignment horizontal="center" vertical="center" wrapText="1"/>
    </xf>
    <xf numFmtId="3" fontId="2" fillId="8" borderId="70" xfId="0" applyNumberFormat="1" applyFont="1" applyFill="1" applyBorder="1" applyAlignment="1">
      <alignment horizontal="center" vertical="center"/>
    </xf>
    <xf numFmtId="3" fontId="2" fillId="7" borderId="23" xfId="0" applyNumberFormat="1" applyFont="1" applyFill="1" applyBorder="1" applyAlignment="1">
      <alignment horizontal="center" vertical="center"/>
    </xf>
    <xf numFmtId="3" fontId="2" fillId="8" borderId="23" xfId="0" applyNumberFormat="1" applyFont="1" applyFill="1" applyBorder="1" applyAlignment="1">
      <alignment horizontal="center" vertical="center"/>
    </xf>
    <xf numFmtId="3" fontId="2" fillId="13" borderId="14" xfId="0" applyNumberFormat="1" applyFont="1" applyFill="1" applyBorder="1" applyAlignment="1">
      <alignment horizontal="center" vertical="center" wrapText="1"/>
    </xf>
    <xf numFmtId="3" fontId="2" fillId="7" borderId="66" xfId="0" applyNumberFormat="1" applyFont="1" applyFill="1" applyBorder="1" applyAlignment="1">
      <alignment horizontal="center" vertical="center"/>
    </xf>
    <xf numFmtId="3" fontId="2" fillId="18" borderId="53" xfId="0" applyNumberFormat="1" applyFont="1" applyFill="1" applyBorder="1" applyAlignment="1">
      <alignment horizontal="center" vertical="center" wrapText="1"/>
    </xf>
    <xf numFmtId="3" fontId="2" fillId="18" borderId="0" xfId="0" applyNumberFormat="1" applyFont="1" applyFill="1" applyBorder="1" applyAlignment="1">
      <alignment horizontal="center" vertical="center" wrapText="1"/>
    </xf>
    <xf numFmtId="3" fontId="2" fillId="13" borderId="62" xfId="0" applyNumberFormat="1" applyFont="1" applyFill="1" applyBorder="1" applyAlignment="1">
      <alignment horizontal="center" vertical="center" wrapText="1"/>
    </xf>
    <xf numFmtId="3" fontId="2" fillId="13" borderId="64" xfId="0" applyNumberFormat="1" applyFont="1" applyFill="1" applyBorder="1" applyAlignment="1">
      <alignment horizontal="center" vertical="center"/>
    </xf>
    <xf numFmtId="3" fontId="2" fillId="13" borderId="65" xfId="0" applyNumberFormat="1" applyFont="1" applyFill="1" applyBorder="1" applyAlignment="1">
      <alignment horizontal="center" vertical="center"/>
    </xf>
    <xf numFmtId="3" fontId="2" fillId="8" borderId="66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" fontId="2" fillId="0" borderId="7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7" fontId="2" fillId="24" borderId="7" xfId="0" applyNumberFormat="1" applyFont="1" applyFill="1" applyBorder="1" applyAlignment="1" applyProtection="1">
      <alignment/>
      <protection/>
    </xf>
    <xf numFmtId="3" fontId="2" fillId="23" borderId="64" xfId="0" applyNumberFormat="1" applyFont="1" applyFill="1" applyBorder="1" applyAlignment="1">
      <alignment horizontal="center" vertical="center"/>
    </xf>
    <xf numFmtId="3" fontId="2" fillId="23" borderId="65" xfId="0" applyNumberFormat="1" applyFont="1" applyFill="1" applyBorder="1" applyAlignment="1">
      <alignment horizontal="center" vertical="center"/>
    </xf>
    <xf numFmtId="169" fontId="2" fillId="0" borderId="69" xfId="15" applyNumberFormat="1" applyFont="1" applyFill="1" applyBorder="1" applyAlignment="1">
      <alignment horizontal="center" vertical="center"/>
    </xf>
    <xf numFmtId="169" fontId="2" fillId="0" borderId="6" xfId="15" applyNumberFormat="1" applyFont="1" applyFill="1" applyBorder="1" applyAlignment="1">
      <alignment horizontal="center" vertical="center"/>
    </xf>
    <xf numFmtId="169" fontId="2" fillId="17" borderId="7" xfId="15" applyNumberFormat="1" applyFont="1" applyFill="1" applyBorder="1" applyAlignment="1">
      <alignment horizontal="center"/>
    </xf>
    <xf numFmtId="169" fontId="2" fillId="7" borderId="7" xfId="15" applyNumberFormat="1" applyFont="1" applyFill="1" applyBorder="1" applyAlignment="1">
      <alignment horizontal="center"/>
    </xf>
    <xf numFmtId="169" fontId="2" fillId="17" borderId="64" xfId="15" applyNumberFormat="1" applyFont="1" applyFill="1" applyBorder="1" applyAlignment="1">
      <alignment horizontal="right" vertical="center"/>
    </xf>
    <xf numFmtId="169" fontId="2" fillId="17" borderId="64" xfId="15" applyNumberFormat="1" applyFont="1" applyFill="1" applyBorder="1" applyAlignment="1">
      <alignment vertical="center"/>
    </xf>
    <xf numFmtId="169" fontId="2" fillId="17" borderId="67" xfId="15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3" fontId="2" fillId="7" borderId="7" xfId="0" applyNumberFormat="1" applyFont="1" applyFill="1" applyBorder="1" applyAlignment="1">
      <alignment horizontal="center" wrapText="1"/>
    </xf>
    <xf numFmtId="3" fontId="2" fillId="7" borderId="46" xfId="0" applyNumberFormat="1" applyFont="1" applyFill="1" applyBorder="1" applyAlignment="1">
      <alignment horizontal="center" vertical="center"/>
    </xf>
    <xf numFmtId="3" fontId="2" fillId="7" borderId="9" xfId="0" applyNumberFormat="1" applyFont="1" applyFill="1" applyBorder="1" applyAlignment="1">
      <alignment horizontal="center" wrapText="1"/>
    </xf>
    <xf numFmtId="164" fontId="2" fillId="25" borderId="70" xfId="0" applyNumberFormat="1" applyFont="1" applyFill="1" applyBorder="1" applyAlignment="1">
      <alignment horizontal="center" vertical="center"/>
    </xf>
    <xf numFmtId="164" fontId="2" fillId="25" borderId="23" xfId="0" applyNumberFormat="1" applyFont="1" applyFill="1" applyBorder="1" applyAlignment="1">
      <alignment horizontal="center" vertical="center"/>
    </xf>
    <xf numFmtId="164" fontId="2" fillId="25" borderId="66" xfId="0" applyNumberFormat="1" applyFont="1" applyFill="1" applyBorder="1" applyAlignment="1">
      <alignment horizontal="center" vertical="center"/>
    </xf>
    <xf numFmtId="3" fontId="2" fillId="12" borderId="46" xfId="0" applyNumberFormat="1" applyFont="1" applyFill="1" applyBorder="1" applyAlignment="1">
      <alignment vertical="center"/>
    </xf>
    <xf numFmtId="3" fontId="2" fillId="12" borderId="8" xfId="0" applyNumberFormat="1" applyFont="1" applyFill="1" applyBorder="1" applyAlignment="1">
      <alignment vertical="center"/>
    </xf>
    <xf numFmtId="3" fontId="2" fillId="12" borderId="9" xfId="0" applyNumberFormat="1" applyFont="1" applyFill="1" applyBorder="1" applyAlignment="1">
      <alignment vertical="center"/>
    </xf>
    <xf numFmtId="3" fontId="2" fillId="12" borderId="10" xfId="0" applyNumberFormat="1" applyFont="1" applyFill="1" applyBorder="1" applyAlignment="1">
      <alignment vertical="center"/>
    </xf>
    <xf numFmtId="3" fontId="2" fillId="25" borderId="49" xfId="0" applyNumberFormat="1" applyFont="1" applyFill="1" applyBorder="1" applyAlignment="1">
      <alignment vertical="center"/>
    </xf>
    <xf numFmtId="3" fontId="2" fillId="25" borderId="19" xfId="0" applyNumberFormat="1" applyFont="1" applyFill="1" applyBorder="1" applyAlignment="1">
      <alignment vertical="center"/>
    </xf>
    <xf numFmtId="3" fontId="2" fillId="25" borderId="20" xfId="0" applyNumberFormat="1" applyFont="1" applyFill="1" applyBorder="1" applyAlignment="1">
      <alignment vertical="center"/>
    </xf>
    <xf numFmtId="164" fontId="2" fillId="7" borderId="66" xfId="0" applyNumberFormat="1" applyFont="1" applyFill="1" applyBorder="1" applyAlignment="1">
      <alignment horizontal="center" vertical="center"/>
    </xf>
    <xf numFmtId="3" fontId="2" fillId="13" borderId="1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2" fillId="12" borderId="89" xfId="0" applyFont="1" applyFill="1" applyBorder="1" applyAlignment="1">
      <alignment horizontal="center" vertical="center"/>
    </xf>
    <xf numFmtId="0" fontId="2" fillId="9" borderId="72" xfId="0" applyFont="1" applyFill="1" applyBorder="1" applyAlignment="1">
      <alignment vertical="center"/>
    </xf>
    <xf numFmtId="0" fontId="2" fillId="24" borderId="3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17" borderId="7" xfId="0" applyNumberFormat="1" applyFont="1" applyFill="1" applyBorder="1" applyAlignment="1">
      <alignment/>
    </xf>
    <xf numFmtId="3" fontId="2" fillId="7" borderId="7" xfId="0" applyNumberFormat="1" applyFont="1" applyFill="1" applyBorder="1" applyAlignment="1">
      <alignment/>
    </xf>
    <xf numFmtId="3" fontId="2" fillId="13" borderId="7" xfId="0" applyNumberFormat="1" applyFont="1" applyFill="1" applyBorder="1" applyAlignment="1">
      <alignment/>
    </xf>
    <xf numFmtId="0" fontId="1" fillId="0" borderId="43" xfId="0" applyFont="1" applyBorder="1" applyAlignment="1">
      <alignment vertical="center"/>
    </xf>
    <xf numFmtId="0" fontId="2" fillId="14" borderId="28" xfId="0" applyFont="1" applyFill="1" applyBorder="1" applyAlignment="1">
      <alignment horizontal="center" vertical="center"/>
    </xf>
    <xf numFmtId="0" fontId="2" fillId="23" borderId="24" xfId="0" applyFont="1" applyFill="1" applyBorder="1" applyAlignment="1">
      <alignment horizontal="center" vertical="center"/>
    </xf>
    <xf numFmtId="0" fontId="2" fillId="23" borderId="28" xfId="0" applyFont="1" applyFill="1" applyBorder="1" applyAlignment="1">
      <alignment horizontal="center" vertical="center"/>
    </xf>
    <xf numFmtId="0" fontId="2" fillId="15" borderId="53" xfId="0" applyFont="1" applyFill="1" applyBorder="1" applyAlignment="1">
      <alignment horizontal="center" vertical="center"/>
    </xf>
    <xf numFmtId="0" fontId="2" fillId="15" borderId="26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2" fillId="14" borderId="26" xfId="0" applyFont="1" applyFill="1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15" borderId="42" xfId="0" applyFont="1" applyFill="1" applyBorder="1" applyAlignment="1">
      <alignment horizontal="center" vertical="center"/>
    </xf>
    <xf numFmtId="0" fontId="2" fillId="15" borderId="27" xfId="0" applyFont="1" applyFill="1" applyBorder="1" applyAlignment="1">
      <alignment horizontal="center" vertical="center"/>
    </xf>
    <xf numFmtId="0" fontId="2" fillId="12" borderId="42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164" fontId="2" fillId="14" borderId="40" xfId="0" applyNumberFormat="1" applyFont="1" applyFill="1" applyBorder="1" applyAlignment="1">
      <alignment horizontal="center" vertical="center"/>
    </xf>
    <xf numFmtId="164" fontId="2" fillId="23" borderId="70" xfId="0" applyNumberFormat="1" applyFont="1" applyFill="1" applyBorder="1" applyAlignment="1">
      <alignment horizontal="center" vertical="center"/>
    </xf>
    <xf numFmtId="164" fontId="2" fillId="15" borderId="40" xfId="0" applyNumberFormat="1" applyFont="1" applyFill="1" applyBorder="1" applyAlignment="1">
      <alignment horizontal="center" vertical="center"/>
    </xf>
    <xf numFmtId="164" fontId="2" fillId="12" borderId="70" xfId="0" applyNumberFormat="1" applyFont="1" applyFill="1" applyBorder="1" applyAlignment="1">
      <alignment horizontal="center" vertical="center"/>
    </xf>
    <xf numFmtId="164" fontId="2" fillId="7" borderId="40" xfId="0" applyNumberFormat="1" applyFont="1" applyFill="1" applyBorder="1" applyAlignment="1">
      <alignment horizontal="center" vertical="center"/>
    </xf>
    <xf numFmtId="164" fontId="2" fillId="8" borderId="40" xfId="0" applyNumberFormat="1" applyFont="1" applyFill="1" applyBorder="1" applyAlignment="1">
      <alignment horizontal="center" vertical="center"/>
    </xf>
    <xf numFmtId="164" fontId="2" fillId="14" borderId="14" xfId="0" applyNumberFormat="1" applyFont="1" applyFill="1" applyBorder="1" applyAlignment="1">
      <alignment horizontal="center" vertical="center"/>
    </xf>
    <xf numFmtId="164" fontId="2" fillId="23" borderId="23" xfId="0" applyNumberFormat="1" applyFont="1" applyFill="1" applyBorder="1" applyAlignment="1">
      <alignment horizontal="center" vertical="center"/>
    </xf>
    <xf numFmtId="164" fontId="2" fillId="15" borderId="14" xfId="0" applyNumberFormat="1" applyFont="1" applyFill="1" applyBorder="1" applyAlignment="1">
      <alignment horizontal="center" vertical="center"/>
    </xf>
    <xf numFmtId="164" fontId="2" fillId="12" borderId="14" xfId="0" applyNumberFormat="1" applyFont="1" applyFill="1" applyBorder="1" applyAlignment="1">
      <alignment horizontal="center" vertical="center"/>
    </xf>
    <xf numFmtId="164" fontId="2" fillId="7" borderId="14" xfId="0" applyNumberFormat="1" applyFont="1" applyFill="1" applyBorder="1" applyAlignment="1">
      <alignment horizontal="center" vertical="center"/>
    </xf>
    <xf numFmtId="164" fontId="2" fillId="8" borderId="14" xfId="0" applyNumberFormat="1" applyFont="1" applyFill="1" applyBorder="1" applyAlignment="1">
      <alignment horizontal="center" vertical="center"/>
    </xf>
    <xf numFmtId="3" fontId="2" fillId="14" borderId="7" xfId="0" applyNumberFormat="1" applyFont="1" applyFill="1" applyBorder="1" applyAlignment="1">
      <alignment vertical="center"/>
    </xf>
    <xf numFmtId="164" fontId="2" fillId="23" borderId="73" xfId="0" applyNumberFormat="1" applyFont="1" applyFill="1" applyBorder="1" applyAlignment="1">
      <alignment horizontal="center" vertical="center"/>
    </xf>
    <xf numFmtId="3" fontId="2" fillId="23" borderId="7" xfId="0" applyNumberFormat="1" applyFont="1" applyFill="1" applyBorder="1" applyAlignment="1">
      <alignment vertical="center"/>
    </xf>
    <xf numFmtId="169" fontId="2" fillId="12" borderId="7" xfId="15" applyNumberFormat="1" applyFont="1" applyFill="1" applyBorder="1" applyAlignment="1">
      <alignment vertical="center"/>
    </xf>
    <xf numFmtId="169" fontId="2" fillId="7" borderId="7" xfId="15" applyNumberFormat="1" applyFont="1" applyFill="1" applyBorder="1" applyAlignment="1">
      <alignment horizontal="right" vertical="center"/>
    </xf>
    <xf numFmtId="169" fontId="2" fillId="12" borderId="14" xfId="15" applyNumberFormat="1" applyFont="1" applyFill="1" applyBorder="1" applyAlignment="1">
      <alignment vertical="center"/>
    </xf>
    <xf numFmtId="169" fontId="2" fillId="7" borderId="14" xfId="15" applyNumberFormat="1" applyFont="1" applyFill="1" applyBorder="1" applyAlignment="1">
      <alignment horizontal="right" vertical="center"/>
    </xf>
    <xf numFmtId="169" fontId="2" fillId="14" borderId="7" xfId="15" applyNumberFormat="1" applyFont="1" applyFill="1" applyBorder="1" applyAlignment="1">
      <alignment horizontal="center" vertical="center"/>
    </xf>
    <xf numFmtId="164" fontId="2" fillId="23" borderId="14" xfId="0" applyNumberFormat="1" applyFont="1" applyFill="1" applyBorder="1" applyAlignment="1">
      <alignment horizontal="center" vertical="center"/>
    </xf>
    <xf numFmtId="164" fontId="2" fillId="12" borderId="23" xfId="0" applyNumberFormat="1" applyFont="1" applyFill="1" applyBorder="1" applyAlignment="1">
      <alignment horizontal="center" vertical="center"/>
    </xf>
    <xf numFmtId="164" fontId="2" fillId="14" borderId="56" xfId="0" applyNumberFormat="1" applyFont="1" applyFill="1" applyBorder="1" applyAlignment="1">
      <alignment horizontal="center" vertical="center"/>
    </xf>
    <xf numFmtId="164" fontId="2" fillId="23" borderId="60" xfId="0" applyNumberFormat="1" applyFont="1" applyFill="1" applyBorder="1" applyAlignment="1">
      <alignment horizontal="center" vertical="center"/>
    </xf>
    <xf numFmtId="164" fontId="2" fillId="15" borderId="56" xfId="0" applyNumberFormat="1" applyFont="1" applyFill="1" applyBorder="1" applyAlignment="1">
      <alignment horizontal="center" vertical="center"/>
    </xf>
    <xf numFmtId="164" fontId="2" fillId="12" borderId="60" xfId="0" applyNumberFormat="1" applyFont="1" applyFill="1" applyBorder="1" applyAlignment="1">
      <alignment horizontal="center" vertical="center"/>
    </xf>
    <xf numFmtId="164" fontId="2" fillId="7" borderId="56" xfId="0" applyNumberFormat="1" applyFont="1" applyFill="1" applyBorder="1" applyAlignment="1">
      <alignment horizontal="center" vertical="center"/>
    </xf>
    <xf numFmtId="164" fontId="2" fillId="8" borderId="56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3" fontId="2" fillId="7" borderId="0" xfId="0" applyNumberFormat="1" applyFont="1" applyFill="1" applyAlignment="1">
      <alignment horizontal="center"/>
    </xf>
    <xf numFmtId="37" fontId="2" fillId="25" borderId="7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7" fontId="2" fillId="13" borderId="27" xfId="0" applyNumberFormat="1" applyFont="1" applyFill="1" applyBorder="1" applyAlignment="1">
      <alignment/>
    </xf>
    <xf numFmtId="37" fontId="2" fillId="17" borderId="27" xfId="0" applyNumberFormat="1" applyFont="1" applyFill="1" applyBorder="1" applyAlignment="1">
      <alignment/>
    </xf>
    <xf numFmtId="0" fontId="2" fillId="9" borderId="0" xfId="0" applyFont="1" applyFill="1" applyAlignment="1">
      <alignment/>
    </xf>
    <xf numFmtId="0" fontId="2" fillId="12" borderId="38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 vertical="center"/>
    </xf>
    <xf numFmtId="3" fontId="2" fillId="12" borderId="49" xfId="0" applyNumberFormat="1" applyFont="1" applyFill="1" applyBorder="1" applyAlignment="1">
      <alignment vertical="center"/>
    </xf>
    <xf numFmtId="3" fontId="2" fillId="12" borderId="19" xfId="0" applyNumberFormat="1" applyFont="1" applyFill="1" applyBorder="1" applyAlignment="1">
      <alignment vertical="center"/>
    </xf>
    <xf numFmtId="3" fontId="2" fillId="12" borderId="20" xfId="0" applyNumberFormat="1" applyFont="1" applyFill="1" applyBorder="1" applyAlignment="1">
      <alignment vertical="center"/>
    </xf>
    <xf numFmtId="3" fontId="2" fillId="25" borderId="46" xfId="0" applyNumberFormat="1" applyFont="1" applyFill="1" applyBorder="1" applyAlignment="1">
      <alignment vertical="center"/>
    </xf>
    <xf numFmtId="3" fontId="2" fillId="25" borderId="8" xfId="0" applyNumberFormat="1" applyFont="1" applyFill="1" applyBorder="1" applyAlignment="1">
      <alignment vertical="center"/>
    </xf>
    <xf numFmtId="164" fontId="2" fillId="17" borderId="23" xfId="0" applyNumberFormat="1" applyFont="1" applyFill="1" applyBorder="1" applyAlignment="1">
      <alignment horizontal="center" vertical="center"/>
    </xf>
    <xf numFmtId="164" fontId="2" fillId="17" borderId="66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3" fontId="1" fillId="0" borderId="40" xfId="0" applyNumberFormat="1" applyFont="1" applyFill="1" applyBorder="1" applyAlignment="1">
      <alignment horizontal="right" vertical="center" wrapText="1"/>
    </xf>
    <xf numFmtId="3" fontId="1" fillId="0" borderId="70" xfId="0" applyNumberFormat="1" applyFont="1" applyFill="1" applyBorder="1" applyAlignment="1">
      <alignment horizontal="right" vertical="center"/>
    </xf>
    <xf numFmtId="3" fontId="2" fillId="0" borderId="56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9" fontId="2" fillId="16" borderId="23" xfId="15" applyNumberFormat="1" applyFont="1" applyFill="1" applyBorder="1" applyAlignment="1">
      <alignment horizontal="center" vertical="center"/>
    </xf>
    <xf numFmtId="3" fontId="2" fillId="12" borderId="30" xfId="0" applyNumberFormat="1" applyFont="1" applyFill="1" applyBorder="1" applyAlignment="1">
      <alignment horizontal="center"/>
    </xf>
    <xf numFmtId="3" fontId="2" fillId="12" borderId="46" xfId="0" applyNumberFormat="1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 horizontal="center"/>
    </xf>
    <xf numFmtId="3" fontId="2" fillId="7" borderId="49" xfId="0" applyNumberFormat="1" applyFont="1" applyFill="1" applyBorder="1" applyAlignment="1">
      <alignment horizontal="center"/>
    </xf>
    <xf numFmtId="3" fontId="2" fillId="13" borderId="30" xfId="0" applyNumberFormat="1" applyFont="1" applyFill="1" applyBorder="1" applyAlignment="1">
      <alignment horizontal="center"/>
    </xf>
    <xf numFmtId="3" fontId="2" fillId="13" borderId="4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12" borderId="7" xfId="0" applyNumberFormat="1" applyFont="1" applyFill="1" applyBorder="1" applyAlignment="1">
      <alignment horizontal="center"/>
    </xf>
    <xf numFmtId="3" fontId="2" fillId="12" borderId="8" xfId="0" applyNumberFormat="1" applyFont="1" applyFill="1" applyBorder="1" applyAlignment="1">
      <alignment horizontal="center"/>
    </xf>
    <xf numFmtId="3" fontId="2" fillId="13" borderId="7" xfId="0" applyNumberFormat="1" applyFont="1" applyFill="1" applyBorder="1" applyAlignment="1">
      <alignment horizontal="center"/>
    </xf>
    <xf numFmtId="3" fontId="2" fillId="13" borderId="19" xfId="0" applyNumberFormat="1" applyFont="1" applyFill="1" applyBorder="1" applyAlignment="1">
      <alignment horizontal="center"/>
    </xf>
    <xf numFmtId="3" fontId="2" fillId="12" borderId="9" xfId="0" applyNumberFormat="1" applyFont="1" applyFill="1" applyBorder="1" applyAlignment="1">
      <alignment horizontal="center"/>
    </xf>
    <xf numFmtId="3" fontId="2" fillId="12" borderId="10" xfId="0" applyNumberFormat="1" applyFont="1" applyFill="1" applyBorder="1" applyAlignment="1">
      <alignment horizontal="center"/>
    </xf>
    <xf numFmtId="3" fontId="2" fillId="13" borderId="9" xfId="0" applyNumberFormat="1" applyFont="1" applyFill="1" applyBorder="1" applyAlignment="1">
      <alignment horizontal="center"/>
    </xf>
    <xf numFmtId="0" fontId="2" fillId="9" borderId="11" xfId="0" applyFont="1" applyFill="1" applyBorder="1" applyAlignment="1">
      <alignment horizontal="left"/>
    </xf>
    <xf numFmtId="0" fontId="2" fillId="9" borderId="12" xfId="0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2" fillId="23" borderId="58" xfId="0" applyFont="1" applyFill="1" applyBorder="1" applyAlignment="1">
      <alignment horizontal="center" vertical="center"/>
    </xf>
    <xf numFmtId="3" fontId="2" fillId="23" borderId="70" xfId="0" applyNumberFormat="1" applyFont="1" applyFill="1" applyBorder="1" applyAlignment="1">
      <alignment horizontal="right" vertical="center"/>
    </xf>
    <xf numFmtId="3" fontId="2" fillId="23" borderId="23" xfId="0" applyNumberFormat="1" applyFont="1" applyFill="1" applyBorder="1" applyAlignment="1">
      <alignment horizontal="right" vertical="center"/>
    </xf>
    <xf numFmtId="169" fontId="2" fillId="23" borderId="23" xfId="15" applyNumberFormat="1" applyFont="1" applyFill="1" applyBorder="1" applyAlignment="1">
      <alignment horizontal="right" vertical="center"/>
    </xf>
    <xf numFmtId="3" fontId="2" fillId="23" borderId="23" xfId="0" applyNumberFormat="1" applyFont="1" applyFill="1" applyBorder="1" applyAlignment="1">
      <alignment vertical="center"/>
    </xf>
    <xf numFmtId="3" fontId="2" fillId="23" borderId="23" xfId="0" applyNumberFormat="1" applyFont="1" applyFill="1" applyBorder="1" applyAlignment="1">
      <alignment horizontal="right" vertical="center" wrapText="1"/>
    </xf>
    <xf numFmtId="169" fontId="2" fillId="23" borderId="60" xfId="15" applyNumberFormat="1" applyFont="1" applyFill="1" applyBorder="1" applyAlignment="1">
      <alignment horizontal="right" vertical="center"/>
    </xf>
    <xf numFmtId="164" fontId="2" fillId="25" borderId="46" xfId="22" applyNumberFormat="1" applyFont="1" applyFill="1" applyBorder="1" applyAlignment="1">
      <alignment horizontal="center" vertical="center"/>
    </xf>
    <xf numFmtId="164" fontId="2" fillId="25" borderId="8" xfId="22" applyNumberFormat="1" applyFont="1" applyFill="1" applyBorder="1" applyAlignment="1">
      <alignment horizontal="center" vertical="center"/>
    </xf>
    <xf numFmtId="164" fontId="2" fillId="25" borderId="10" xfId="22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2" fillId="17" borderId="40" xfId="22" applyNumberFormat="1" applyFont="1" applyFill="1" applyBorder="1" applyAlignment="1">
      <alignment vertical="center"/>
    </xf>
    <xf numFmtId="164" fontId="2" fillId="7" borderId="40" xfId="22" applyNumberFormat="1" applyFont="1" applyFill="1" applyBorder="1" applyAlignment="1">
      <alignment vertical="center"/>
    </xf>
    <xf numFmtId="164" fontId="2" fillId="16" borderId="40" xfId="22" applyNumberFormat="1" applyFont="1" applyFill="1" applyBorder="1" applyAlignment="1">
      <alignment vertical="center"/>
    </xf>
    <xf numFmtId="3" fontId="2" fillId="16" borderId="30" xfId="0" applyNumberFormat="1" applyFont="1" applyFill="1" applyBorder="1" applyAlignment="1">
      <alignment vertical="center" wrapText="1"/>
    </xf>
    <xf numFmtId="3" fontId="2" fillId="16" borderId="46" xfId="0" applyNumberFormat="1" applyFont="1" applyFill="1" applyBorder="1" applyAlignment="1">
      <alignment vertical="center" wrapText="1"/>
    </xf>
    <xf numFmtId="164" fontId="2" fillId="13" borderId="23" xfId="22" applyNumberFormat="1" applyFont="1" applyFill="1" applyBorder="1" applyAlignment="1">
      <alignment vertical="center"/>
    </xf>
    <xf numFmtId="169" fontId="2" fillId="13" borderId="7" xfId="0" applyNumberFormat="1" applyFont="1" applyFill="1" applyBorder="1" applyAlignment="1">
      <alignment vertical="center"/>
    </xf>
    <xf numFmtId="164" fontId="2" fillId="8" borderId="40" xfId="22" applyNumberFormat="1" applyFont="1" applyFill="1" applyBorder="1" applyAlignment="1">
      <alignment vertical="center"/>
    </xf>
    <xf numFmtId="3" fontId="2" fillId="8" borderId="30" xfId="0" applyNumberFormat="1" applyFont="1" applyFill="1" applyBorder="1" applyAlignment="1">
      <alignment vertical="center"/>
    </xf>
    <xf numFmtId="3" fontId="2" fillId="8" borderId="46" xfId="0" applyNumberFormat="1" applyFont="1" applyFill="1" applyBorder="1" applyAlignment="1">
      <alignment vertical="center"/>
    </xf>
    <xf numFmtId="164" fontId="2" fillId="7" borderId="14" xfId="22" applyNumberFormat="1" applyFont="1" applyFill="1" applyBorder="1" applyAlignment="1">
      <alignment vertical="center"/>
    </xf>
    <xf numFmtId="164" fontId="2" fillId="16" borderId="14" xfId="22" applyNumberFormat="1" applyFont="1" applyFill="1" applyBorder="1" applyAlignment="1">
      <alignment vertical="center"/>
    </xf>
    <xf numFmtId="3" fontId="2" fillId="16" borderId="7" xfId="0" applyNumberFormat="1" applyFont="1" applyFill="1" applyBorder="1" applyAlignment="1">
      <alignment vertical="center" wrapText="1"/>
    </xf>
    <xf numFmtId="3" fontId="2" fillId="16" borderId="8" xfId="0" applyNumberFormat="1" applyFont="1" applyFill="1" applyBorder="1" applyAlignment="1">
      <alignment vertical="center" wrapText="1"/>
    </xf>
    <xf numFmtId="164" fontId="2" fillId="8" borderId="14" xfId="22" applyNumberFormat="1" applyFont="1" applyFill="1" applyBorder="1" applyAlignment="1">
      <alignment vertical="center"/>
    </xf>
    <xf numFmtId="3" fontId="2" fillId="8" borderId="8" xfId="0" applyNumberFormat="1" applyFont="1" applyFill="1" applyBorder="1" applyAlignment="1">
      <alignment vertical="center"/>
    </xf>
    <xf numFmtId="3" fontId="2" fillId="17" borderId="64" xfId="0" applyNumberFormat="1" applyFont="1" applyFill="1" applyBorder="1" applyAlignment="1">
      <alignment vertical="center" wrapText="1"/>
    </xf>
    <xf numFmtId="164" fontId="2" fillId="7" borderId="62" xfId="22" applyNumberFormat="1" applyFont="1" applyFill="1" applyBorder="1" applyAlignment="1">
      <alignment vertical="center"/>
    </xf>
    <xf numFmtId="3" fontId="2" fillId="7" borderId="9" xfId="0" applyNumberFormat="1" applyFont="1" applyFill="1" applyBorder="1" applyAlignment="1">
      <alignment vertical="center" wrapText="1"/>
    </xf>
    <xf numFmtId="164" fontId="2" fillId="16" borderId="56" xfId="22" applyNumberFormat="1" applyFont="1" applyFill="1" applyBorder="1" applyAlignment="1">
      <alignment vertical="center"/>
    </xf>
    <xf numFmtId="3" fontId="2" fillId="16" borderId="9" xfId="0" applyNumberFormat="1" applyFont="1" applyFill="1" applyBorder="1" applyAlignment="1">
      <alignment vertical="center" wrapText="1"/>
    </xf>
    <xf numFmtId="3" fontId="2" fillId="16" borderId="10" xfId="0" applyNumberFormat="1" applyFont="1" applyFill="1" applyBorder="1" applyAlignment="1">
      <alignment vertical="center" wrapText="1"/>
    </xf>
    <xf numFmtId="164" fontId="2" fillId="13" borderId="60" xfId="22" applyNumberFormat="1" applyFont="1" applyFill="1" applyBorder="1" applyAlignment="1">
      <alignment vertical="center"/>
    </xf>
    <xf numFmtId="3" fontId="2" fillId="13" borderId="9" xfId="0" applyNumberFormat="1" applyFont="1" applyFill="1" applyBorder="1" applyAlignment="1">
      <alignment vertical="center" wrapText="1"/>
    </xf>
    <xf numFmtId="164" fontId="2" fillId="8" borderId="56" xfId="22" applyNumberFormat="1" applyFont="1" applyFill="1" applyBorder="1" applyAlignment="1">
      <alignment vertical="center"/>
    </xf>
    <xf numFmtId="3" fontId="2" fillId="8" borderId="9" xfId="0" applyNumberFormat="1" applyFont="1" applyFill="1" applyBorder="1" applyAlignment="1">
      <alignment vertical="center"/>
    </xf>
    <xf numFmtId="3" fontId="2" fillId="8" borderId="10" xfId="0" applyNumberFormat="1" applyFont="1" applyFill="1" applyBorder="1" applyAlignment="1">
      <alignment vertical="center"/>
    </xf>
    <xf numFmtId="164" fontId="2" fillId="0" borderId="70" xfId="22" applyNumberFormat="1" applyFont="1" applyFill="1" applyBorder="1" applyAlignment="1">
      <alignment vertical="center"/>
    </xf>
    <xf numFmtId="169" fontId="2" fillId="0" borderId="30" xfId="15" applyNumberFormat="1" applyFont="1" applyFill="1" applyBorder="1" applyAlignment="1">
      <alignment vertical="center" wrapText="1"/>
    </xf>
    <xf numFmtId="164" fontId="2" fillId="0" borderId="69" xfId="22" applyNumberFormat="1" applyFont="1" applyFill="1" applyBorder="1" applyAlignment="1">
      <alignment vertical="center"/>
    </xf>
    <xf numFmtId="169" fontId="2" fillId="0" borderId="5" xfId="15" applyNumberFormat="1" applyFont="1" applyFill="1" applyBorder="1" applyAlignment="1">
      <alignment vertical="center" wrapText="1"/>
    </xf>
    <xf numFmtId="169" fontId="2" fillId="0" borderId="49" xfId="15" applyNumberFormat="1" applyFont="1" applyFill="1" applyBorder="1" applyAlignment="1">
      <alignment vertical="center" wrapText="1"/>
    </xf>
    <xf numFmtId="164" fontId="2" fillId="0" borderId="40" xfId="22" applyNumberFormat="1" applyFont="1" applyFill="1" applyBorder="1" applyAlignment="1">
      <alignment vertical="center"/>
    </xf>
    <xf numFmtId="164" fontId="2" fillId="0" borderId="60" xfId="22" applyNumberFormat="1" applyFont="1" applyFill="1" applyBorder="1" applyAlignment="1">
      <alignment vertical="center"/>
    </xf>
    <xf numFmtId="164" fontId="2" fillId="0" borderId="56" xfId="22" applyNumberFormat="1" applyFont="1" applyFill="1" applyBorder="1" applyAlignment="1">
      <alignment vertical="center"/>
    </xf>
    <xf numFmtId="169" fontId="2" fillId="0" borderId="20" xfId="15" applyNumberFormat="1" applyFont="1" applyFill="1" applyBorder="1" applyAlignment="1">
      <alignment vertical="center" wrapText="1"/>
    </xf>
    <xf numFmtId="169" fontId="2" fillId="0" borderId="10" xfId="15" applyNumberFormat="1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3" fontId="2" fillId="14" borderId="15" xfId="15" applyFont="1" applyFill="1" applyBorder="1" applyAlignment="1">
      <alignment horizontal="center" vertical="center" wrapText="1"/>
    </xf>
    <xf numFmtId="0" fontId="2" fillId="14" borderId="62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 wrapText="1"/>
    </xf>
    <xf numFmtId="0" fontId="2" fillId="14" borderId="6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0" fillId="6" borderId="43" xfId="0" applyFill="1" applyBorder="1" applyAlignment="1">
      <alignment vertical="center"/>
    </xf>
    <xf numFmtId="0" fontId="2" fillId="6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25" borderId="35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center" vertical="center"/>
    </xf>
    <xf numFmtId="0" fontId="2" fillId="23" borderId="51" xfId="0" applyFont="1" applyFill="1" applyBorder="1" applyAlignment="1">
      <alignment horizontal="center" vertical="center"/>
    </xf>
    <xf numFmtId="0" fontId="2" fillId="23" borderId="45" xfId="0" applyFont="1" applyFill="1" applyBorder="1" applyAlignment="1">
      <alignment horizontal="center" vertical="center"/>
    </xf>
    <xf numFmtId="0" fontId="2" fillId="23" borderId="5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left" vertical="center"/>
    </xf>
    <xf numFmtId="0" fontId="2" fillId="8" borderId="13" xfId="0" applyFont="1" applyFill="1" applyBorder="1" applyAlignment="1">
      <alignment horizontal="left" vertical="center"/>
    </xf>
    <xf numFmtId="0" fontId="2" fillId="22" borderId="87" xfId="0" applyFont="1" applyFill="1" applyBorder="1" applyAlignment="1">
      <alignment horizontal="left" vertical="center"/>
    </xf>
    <xf numFmtId="0" fontId="1" fillId="0" borderId="86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27" borderId="34" xfId="0" applyFont="1" applyFill="1" applyBorder="1" applyAlignment="1">
      <alignment horizontal="center" vertical="center" wrapText="1"/>
    </xf>
    <xf numFmtId="0" fontId="0" fillId="27" borderId="87" xfId="0" applyFill="1" applyBorder="1" applyAlignment="1">
      <alignment vertical="center"/>
    </xf>
    <xf numFmtId="0" fontId="2" fillId="8" borderId="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2" xfId="0" applyFont="1" applyFill="1" applyBorder="1" applyAlignment="1">
      <alignment horizontal="center" vertical="center"/>
    </xf>
    <xf numFmtId="0" fontId="2" fillId="24" borderId="3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/>
    </xf>
    <xf numFmtId="0" fontId="2" fillId="23" borderId="31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/>
    </xf>
    <xf numFmtId="0" fontId="2" fillId="23" borderId="3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43" xfId="0" applyFont="1" applyFill="1" applyBorder="1" applyAlignment="1">
      <alignment horizontal="center" vertical="center"/>
    </xf>
    <xf numFmtId="0" fontId="2" fillId="13" borderId="54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 wrapText="1"/>
    </xf>
    <xf numFmtId="0" fontId="2" fillId="22" borderId="38" xfId="0" applyFont="1" applyFill="1" applyBorder="1" applyAlignment="1">
      <alignment horizontal="center" vertical="center" wrapText="1"/>
    </xf>
    <xf numFmtId="0" fontId="2" fillId="27" borderId="21" xfId="0" applyFont="1" applyFill="1" applyBorder="1" applyAlignment="1">
      <alignment horizontal="left" vertical="center" wrapText="1"/>
    </xf>
    <xf numFmtId="0" fontId="2" fillId="27" borderId="59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2" fillId="22" borderId="33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27" borderId="32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25" borderId="40" xfId="0" applyFont="1" applyFill="1" applyBorder="1" applyAlignment="1">
      <alignment horizontal="center" vertical="center"/>
    </xf>
    <xf numFmtId="0" fontId="2" fillId="25" borderId="30" xfId="0" applyFont="1" applyFill="1" applyBorder="1" applyAlignment="1">
      <alignment horizontal="center" vertical="center"/>
    </xf>
    <xf numFmtId="0" fontId="2" fillId="25" borderId="4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0" fontId="2" fillId="25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2" fillId="25" borderId="17" xfId="0" applyNumberFormat="1" applyFont="1" applyFill="1" applyBorder="1" applyAlignment="1">
      <alignment horizontal="center" vertical="center"/>
    </xf>
    <xf numFmtId="3" fontId="2" fillId="25" borderId="57" xfId="0" applyNumberFormat="1" applyFont="1" applyFill="1" applyBorder="1" applyAlignment="1">
      <alignment horizontal="center" vertical="center"/>
    </xf>
    <xf numFmtId="3" fontId="2" fillId="25" borderId="43" xfId="0" applyNumberFormat="1" applyFont="1" applyFill="1" applyBorder="1" applyAlignment="1">
      <alignment horizontal="center" vertical="center"/>
    </xf>
    <xf numFmtId="3" fontId="2" fillId="25" borderId="54" xfId="0" applyNumberFormat="1" applyFont="1" applyFill="1" applyBorder="1" applyAlignment="1">
      <alignment horizontal="center" vertical="center"/>
    </xf>
    <xf numFmtId="0" fontId="2" fillId="25" borderId="4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25" borderId="44" xfId="0" applyFont="1" applyFill="1" applyBorder="1" applyAlignment="1">
      <alignment horizontal="center" vertical="center"/>
    </xf>
    <xf numFmtId="0" fontId="2" fillId="25" borderId="52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3" fontId="2" fillId="25" borderId="61" xfId="0" applyNumberFormat="1" applyFont="1" applyFill="1" applyBorder="1" applyAlignment="1">
      <alignment horizontal="center" vertical="center"/>
    </xf>
    <xf numFmtId="3" fontId="2" fillId="25" borderId="88" xfId="0" applyNumberFormat="1" applyFont="1" applyFill="1" applyBorder="1" applyAlignment="1">
      <alignment horizontal="center" vertical="center"/>
    </xf>
    <xf numFmtId="3" fontId="2" fillId="25" borderId="90" xfId="0" applyNumberFormat="1" applyFont="1" applyFill="1" applyBorder="1" applyAlignment="1">
      <alignment horizontal="center" vertical="center"/>
    </xf>
    <xf numFmtId="3" fontId="2" fillId="25" borderId="91" xfId="0" applyNumberFormat="1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2" fillId="25" borderId="34" xfId="0" applyFont="1" applyFill="1" applyBorder="1" applyAlignment="1">
      <alignment horizontal="center" vertical="center" wrapText="1"/>
    </xf>
    <xf numFmtId="0" fontId="1" fillId="25" borderId="87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87" xfId="0" applyFont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17" borderId="17" xfId="0" applyFont="1" applyFill="1" applyBorder="1" applyAlignment="1">
      <alignment horizontal="center" vertical="center"/>
    </xf>
    <xf numFmtId="0" fontId="2" fillId="17" borderId="43" xfId="0" applyFont="1" applyFill="1" applyBorder="1" applyAlignment="1">
      <alignment horizontal="center" vertical="center"/>
    </xf>
    <xf numFmtId="0" fontId="2" fillId="18" borderId="35" xfId="0" applyFont="1" applyFill="1" applyBorder="1" applyAlignment="1">
      <alignment horizontal="center" vertical="center"/>
    </xf>
    <xf numFmtId="0" fontId="2" fillId="18" borderId="38" xfId="0" applyFont="1" applyFill="1" applyBorder="1" applyAlignment="1">
      <alignment horizontal="center" vertical="center"/>
    </xf>
    <xf numFmtId="0" fontId="2" fillId="18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1" fillId="0" borderId="87" xfId="0" applyFont="1" applyBorder="1" applyAlignment="1">
      <alignment vertical="center"/>
    </xf>
    <xf numFmtId="0" fontId="1" fillId="0" borderId="86" xfId="0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23" borderId="17" xfId="0" applyFont="1" applyFill="1" applyBorder="1" applyAlignment="1">
      <alignment horizontal="center" vertical="center"/>
    </xf>
    <xf numFmtId="0" fontId="2" fillId="23" borderId="43" xfId="0" applyFont="1" applyFill="1" applyBorder="1" applyAlignment="1">
      <alignment horizontal="center" vertical="center"/>
    </xf>
    <xf numFmtId="0" fontId="0" fillId="0" borderId="86" xfId="0" applyBorder="1" applyAlignment="1">
      <alignment/>
    </xf>
    <xf numFmtId="0" fontId="2" fillId="27" borderId="87" xfId="0" applyFont="1" applyFill="1" applyBorder="1" applyAlignment="1">
      <alignment horizontal="center" vertical="center" wrapText="1"/>
    </xf>
    <xf numFmtId="0" fontId="2" fillId="27" borderId="86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25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0" fontId="2" fillId="18" borderId="31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6" borderId="9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2" fillId="7" borderId="9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 wrapText="1"/>
    </xf>
    <xf numFmtId="0" fontId="2" fillId="24" borderId="87" xfId="0" applyFont="1" applyFill="1" applyBorder="1" applyAlignment="1">
      <alignment horizontal="center" vertical="center" wrapText="1"/>
    </xf>
    <xf numFmtId="0" fontId="2" fillId="24" borderId="94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2" xfId="21" applyFont="1" applyBorder="1" applyAlignment="1">
      <alignment/>
    </xf>
    <xf numFmtId="0" fontId="0" fillId="0" borderId="2" xfId="0" applyBorder="1" applyAlignment="1">
      <alignment/>
    </xf>
    <xf numFmtId="0" fontId="2" fillId="17" borderId="48" xfId="0" applyFont="1" applyFill="1" applyBorder="1" applyAlignment="1">
      <alignment horizontal="center" vertical="center"/>
    </xf>
    <xf numFmtId="0" fontId="2" fillId="17" borderId="58" xfId="0" applyFont="1" applyFill="1" applyBorder="1" applyAlignment="1">
      <alignment horizontal="center" vertical="center"/>
    </xf>
    <xf numFmtId="0" fontId="2" fillId="17" borderId="24" xfId="0" applyFont="1" applyFill="1" applyBorder="1" applyAlignment="1">
      <alignment horizontal="center" vertical="center"/>
    </xf>
    <xf numFmtId="0" fontId="2" fillId="17" borderId="50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16" borderId="38" xfId="0" applyFont="1" applyFill="1" applyBorder="1" applyAlignment="1">
      <alignment horizontal="center" vertical="center"/>
    </xf>
    <xf numFmtId="0" fontId="2" fillId="16" borderId="25" xfId="0" applyFont="1" applyFill="1" applyBorder="1" applyAlignment="1">
      <alignment horizontal="center" vertical="center"/>
    </xf>
    <xf numFmtId="0" fontId="2" fillId="16" borderId="33" xfId="0" applyFont="1" applyFill="1" applyBorder="1" applyAlignment="1">
      <alignment horizontal="center" vertical="center"/>
    </xf>
    <xf numFmtId="0" fontId="2" fillId="13" borderId="58" xfId="0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2" fillId="13" borderId="50" xfId="0" applyFont="1" applyFill="1" applyBorder="1" applyAlignment="1">
      <alignment horizontal="center" vertical="center"/>
    </xf>
    <xf numFmtId="0" fontId="0" fillId="27" borderId="87" xfId="0" applyFill="1" applyBorder="1" applyAlignment="1">
      <alignment/>
    </xf>
    <xf numFmtId="0" fontId="2" fillId="8" borderId="3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trend" /><Relationship Id="rId4" Type="http://schemas.openxmlformats.org/officeDocument/2006/relationships/hyperlink" Target="#trend" /><Relationship Id="rId5" Type="http://schemas.openxmlformats.org/officeDocument/2006/relationships/hyperlink" Target="#trend" /><Relationship Id="rId6" Type="http://schemas.openxmlformats.org/officeDocument/2006/relationships/hyperlink" Target="#trend" /><Relationship Id="rId7" Type="http://schemas.openxmlformats.org/officeDocument/2006/relationships/hyperlink" Target="#trend" /><Relationship Id="rId8" Type="http://schemas.openxmlformats.org/officeDocument/2006/relationships/hyperlink" Target="#trend" /><Relationship Id="rId9" Type="http://schemas.openxmlformats.org/officeDocument/2006/relationships/hyperlink" Target="#trend" /><Relationship Id="rId10" Type="http://schemas.openxmlformats.org/officeDocument/2006/relationships/hyperlink" Target="#trend" /><Relationship Id="rId11" Type="http://schemas.openxmlformats.org/officeDocument/2006/relationships/hyperlink" Target="#trend" /><Relationship Id="rId12" Type="http://schemas.openxmlformats.org/officeDocument/2006/relationships/hyperlink" Target="#trend" /><Relationship Id="rId13" Type="http://schemas.openxmlformats.org/officeDocument/2006/relationships/hyperlink" Target="#trend" /><Relationship Id="rId14" Type="http://schemas.openxmlformats.org/officeDocument/2006/relationships/hyperlink" Target="#trend" /><Relationship Id="rId15" Type="http://schemas.openxmlformats.org/officeDocument/2006/relationships/hyperlink" Target="#trend" /><Relationship Id="rId16" Type="http://schemas.openxmlformats.org/officeDocument/2006/relationships/hyperlink" Target="#trend" /><Relationship Id="rId17" Type="http://schemas.openxmlformats.org/officeDocument/2006/relationships/hyperlink" Target="#trend" /><Relationship Id="rId18" Type="http://schemas.openxmlformats.org/officeDocument/2006/relationships/hyperlink" Target="#trend" /><Relationship Id="rId19" Type="http://schemas.openxmlformats.org/officeDocument/2006/relationships/hyperlink" Target="#trend" /><Relationship Id="rId20" Type="http://schemas.openxmlformats.org/officeDocument/2006/relationships/hyperlink" Target="#trend" /><Relationship Id="rId21" Type="http://schemas.openxmlformats.org/officeDocument/2006/relationships/hyperlink" Target="#trend" /><Relationship Id="rId22" Type="http://schemas.openxmlformats.org/officeDocument/2006/relationships/hyperlink" Target="#trend" /><Relationship Id="rId23" Type="http://schemas.openxmlformats.org/officeDocument/2006/relationships/hyperlink" Target="#trend" /><Relationship Id="rId24" Type="http://schemas.openxmlformats.org/officeDocument/2006/relationships/hyperlink" Target="#trend" /><Relationship Id="rId25" Type="http://schemas.openxmlformats.org/officeDocument/2006/relationships/hyperlink" Target="#trend" /><Relationship Id="rId26" Type="http://schemas.openxmlformats.org/officeDocument/2006/relationships/hyperlink" Target="#trend" /><Relationship Id="rId27" Type="http://schemas.openxmlformats.org/officeDocument/2006/relationships/hyperlink" Target="#trend" /><Relationship Id="rId28" Type="http://schemas.openxmlformats.org/officeDocument/2006/relationships/hyperlink" Target="#trend" /><Relationship Id="rId29" Type="http://schemas.openxmlformats.org/officeDocument/2006/relationships/hyperlink" Target="#trend" /><Relationship Id="rId30" Type="http://schemas.openxmlformats.org/officeDocument/2006/relationships/hyperlink" Target="#trend" /><Relationship Id="rId31" Type="http://schemas.openxmlformats.org/officeDocument/2006/relationships/hyperlink" Target="#trend" /><Relationship Id="rId32" Type="http://schemas.openxmlformats.org/officeDocument/2006/relationships/hyperlink" Target="#trend" /><Relationship Id="rId33" Type="http://schemas.openxmlformats.org/officeDocument/2006/relationships/hyperlink" Target="#trend" /><Relationship Id="rId34" Type="http://schemas.openxmlformats.org/officeDocument/2006/relationships/hyperlink" Target="#trend" /><Relationship Id="rId35" Type="http://schemas.openxmlformats.org/officeDocument/2006/relationships/hyperlink" Target="#trend" /><Relationship Id="rId36" Type="http://schemas.openxmlformats.org/officeDocument/2006/relationships/hyperlink" Target="#trend" /><Relationship Id="rId37" Type="http://schemas.openxmlformats.org/officeDocument/2006/relationships/hyperlink" Target="#trend" /><Relationship Id="rId38" Type="http://schemas.openxmlformats.org/officeDocument/2006/relationships/hyperlink" Target="#trend" /><Relationship Id="rId39" Type="http://schemas.openxmlformats.org/officeDocument/2006/relationships/hyperlink" Target="#trend" /><Relationship Id="rId40" Type="http://schemas.openxmlformats.org/officeDocument/2006/relationships/hyperlink" Target="#trend" /><Relationship Id="rId41" Type="http://schemas.openxmlformats.org/officeDocument/2006/relationships/hyperlink" Target="#trend" /><Relationship Id="rId42" Type="http://schemas.openxmlformats.org/officeDocument/2006/relationships/hyperlink" Target="#trend" /><Relationship Id="rId43" Type="http://schemas.openxmlformats.org/officeDocument/2006/relationships/hyperlink" Target="#trend" /><Relationship Id="rId44" Type="http://schemas.openxmlformats.org/officeDocument/2006/relationships/hyperlink" Target="#trend" /><Relationship Id="rId45" Type="http://schemas.openxmlformats.org/officeDocument/2006/relationships/hyperlink" Target="#trend" /><Relationship Id="rId46" Type="http://schemas.openxmlformats.org/officeDocument/2006/relationships/hyperlink" Target="#trend" /><Relationship Id="rId47" Type="http://schemas.openxmlformats.org/officeDocument/2006/relationships/hyperlink" Target="#trend" /><Relationship Id="rId48" Type="http://schemas.openxmlformats.org/officeDocument/2006/relationships/hyperlink" Target="#trend" /><Relationship Id="rId49" Type="http://schemas.openxmlformats.org/officeDocument/2006/relationships/hyperlink" Target="#trend" /><Relationship Id="rId50" Type="http://schemas.openxmlformats.org/officeDocument/2006/relationships/hyperlink" Target="#trend" /><Relationship Id="rId51" Type="http://schemas.openxmlformats.org/officeDocument/2006/relationships/hyperlink" Target="#trend" /><Relationship Id="rId52" Type="http://schemas.openxmlformats.org/officeDocument/2006/relationships/hyperlink" Target="#trend" /><Relationship Id="rId53" Type="http://schemas.openxmlformats.org/officeDocument/2006/relationships/hyperlink" Target="#trend" /><Relationship Id="rId54" Type="http://schemas.openxmlformats.org/officeDocument/2006/relationships/hyperlink" Target="#trend" /><Relationship Id="rId55" Type="http://schemas.openxmlformats.org/officeDocument/2006/relationships/hyperlink" Target="#trend" /><Relationship Id="rId56" Type="http://schemas.openxmlformats.org/officeDocument/2006/relationships/hyperlink" Target="#trend" /><Relationship Id="rId57" Type="http://schemas.openxmlformats.org/officeDocument/2006/relationships/hyperlink" Target="#trend" /><Relationship Id="rId58" Type="http://schemas.openxmlformats.org/officeDocument/2006/relationships/hyperlink" Target="#trend" /><Relationship Id="rId59" Type="http://schemas.openxmlformats.org/officeDocument/2006/relationships/hyperlink" Target="#trend" /><Relationship Id="rId60" Type="http://schemas.openxmlformats.org/officeDocument/2006/relationships/hyperlink" Target="#trend" /><Relationship Id="rId61" Type="http://schemas.openxmlformats.org/officeDocument/2006/relationships/image" Target="../media/image3.png" /><Relationship Id="rId62" Type="http://schemas.openxmlformats.org/officeDocument/2006/relationships/image" Target="../media/image4.png" /><Relationship Id="rId63" Type="http://schemas.openxmlformats.org/officeDocument/2006/relationships/hyperlink" Target="top" TargetMode="External" /><Relationship Id="rId64" Type="http://schemas.openxmlformats.org/officeDocument/2006/relationships/hyperlink" Target="top" TargetMode="External" /><Relationship Id="rId65" Type="http://schemas.openxmlformats.org/officeDocument/2006/relationships/hyperlink" Target="#trend" /><Relationship Id="rId66" Type="http://schemas.openxmlformats.org/officeDocument/2006/relationships/hyperlink" Target="#trend" /><Relationship Id="rId67" Type="http://schemas.openxmlformats.org/officeDocument/2006/relationships/hyperlink" Target="#trend" /><Relationship Id="rId68" Type="http://schemas.openxmlformats.org/officeDocument/2006/relationships/hyperlink" Target="#trend" /><Relationship Id="rId69" Type="http://schemas.openxmlformats.org/officeDocument/2006/relationships/hyperlink" Target="#trend" /><Relationship Id="rId70" Type="http://schemas.openxmlformats.org/officeDocument/2006/relationships/hyperlink" Target="#trend" /><Relationship Id="rId71" Type="http://schemas.openxmlformats.org/officeDocument/2006/relationships/hyperlink" Target="#trend" /><Relationship Id="rId72" Type="http://schemas.openxmlformats.org/officeDocument/2006/relationships/hyperlink" Target="#trend" /><Relationship Id="rId73" Type="http://schemas.openxmlformats.org/officeDocument/2006/relationships/hyperlink" Target="#trend" /><Relationship Id="rId74" Type="http://schemas.openxmlformats.org/officeDocument/2006/relationships/hyperlink" Target="#trend" /><Relationship Id="rId75" Type="http://schemas.openxmlformats.org/officeDocument/2006/relationships/hyperlink" Target="#trend" /><Relationship Id="rId76" Type="http://schemas.openxmlformats.org/officeDocument/2006/relationships/hyperlink" Target="#trend" /><Relationship Id="rId77" Type="http://schemas.openxmlformats.org/officeDocument/2006/relationships/hyperlink" Target="#trend" /><Relationship Id="rId78" Type="http://schemas.openxmlformats.org/officeDocument/2006/relationships/hyperlink" Target="#trend" /><Relationship Id="rId79" Type="http://schemas.openxmlformats.org/officeDocument/2006/relationships/hyperlink" Target="#trend" /><Relationship Id="rId80" Type="http://schemas.openxmlformats.org/officeDocument/2006/relationships/hyperlink" Target="#trend" /><Relationship Id="rId81" Type="http://schemas.openxmlformats.org/officeDocument/2006/relationships/hyperlink" Target="#trend" /><Relationship Id="rId82" Type="http://schemas.openxmlformats.org/officeDocument/2006/relationships/hyperlink" Target="#trend" /><Relationship Id="rId83" Type="http://schemas.openxmlformats.org/officeDocument/2006/relationships/hyperlink" Target="#trend" /><Relationship Id="rId84" Type="http://schemas.openxmlformats.org/officeDocument/2006/relationships/hyperlink" Target="#trend" /><Relationship Id="rId85" Type="http://schemas.openxmlformats.org/officeDocument/2006/relationships/hyperlink" Target="#trend" /><Relationship Id="rId86" Type="http://schemas.openxmlformats.org/officeDocument/2006/relationships/hyperlink" Target="#trend" /><Relationship Id="rId87" Type="http://schemas.openxmlformats.org/officeDocument/2006/relationships/hyperlink" Target="#trend" /><Relationship Id="rId88" Type="http://schemas.openxmlformats.org/officeDocument/2006/relationships/hyperlink" Target="#trend" /><Relationship Id="rId89" Type="http://schemas.openxmlformats.org/officeDocument/2006/relationships/hyperlink" Target="#trend" /><Relationship Id="rId90" Type="http://schemas.openxmlformats.org/officeDocument/2006/relationships/hyperlink" Target="#trend" /><Relationship Id="rId91" Type="http://schemas.openxmlformats.org/officeDocument/2006/relationships/hyperlink" Target="#trend" /><Relationship Id="rId92" Type="http://schemas.openxmlformats.org/officeDocument/2006/relationships/hyperlink" Target="#trend" /><Relationship Id="rId93" Type="http://schemas.openxmlformats.org/officeDocument/2006/relationships/hyperlink" Target="#trend" /><Relationship Id="rId94" Type="http://schemas.openxmlformats.org/officeDocument/2006/relationships/hyperlink" Target="#trend" /><Relationship Id="rId95" Type="http://schemas.openxmlformats.org/officeDocument/2006/relationships/hyperlink" Target="#trend" /><Relationship Id="rId96" Type="http://schemas.openxmlformats.org/officeDocument/2006/relationships/hyperlink" Target="#trend" /><Relationship Id="rId97" Type="http://schemas.openxmlformats.org/officeDocument/2006/relationships/hyperlink" Target="#trend" /><Relationship Id="rId98" Type="http://schemas.openxmlformats.org/officeDocument/2006/relationships/hyperlink" Target="#trend" /><Relationship Id="rId99" Type="http://schemas.openxmlformats.org/officeDocument/2006/relationships/hyperlink" Target="#trend" /><Relationship Id="rId100" Type="http://schemas.openxmlformats.org/officeDocument/2006/relationships/hyperlink" Target="#trend" /><Relationship Id="rId101" Type="http://schemas.openxmlformats.org/officeDocument/2006/relationships/hyperlink" Target="#trend" /><Relationship Id="rId102" Type="http://schemas.openxmlformats.org/officeDocument/2006/relationships/hyperlink" Target="#trend" /><Relationship Id="rId103" Type="http://schemas.openxmlformats.org/officeDocument/2006/relationships/hyperlink" Target="#trend" /><Relationship Id="rId104" Type="http://schemas.openxmlformats.org/officeDocument/2006/relationships/hyperlink" Target="#trend" /><Relationship Id="rId105" Type="http://schemas.openxmlformats.org/officeDocument/2006/relationships/hyperlink" Target="#trend" /><Relationship Id="rId106" Type="http://schemas.openxmlformats.org/officeDocument/2006/relationships/hyperlink" Target="#trend" /><Relationship Id="rId107" Type="http://schemas.openxmlformats.org/officeDocument/2006/relationships/hyperlink" Target="#trend" /><Relationship Id="rId108" Type="http://schemas.openxmlformats.org/officeDocument/2006/relationships/hyperlink" Target="#trend" /><Relationship Id="rId109" Type="http://schemas.openxmlformats.org/officeDocument/2006/relationships/hyperlink" Target="#trend" /><Relationship Id="rId110" Type="http://schemas.openxmlformats.org/officeDocument/2006/relationships/hyperlink" Target="#trend" /><Relationship Id="rId111" Type="http://schemas.openxmlformats.org/officeDocument/2006/relationships/hyperlink" Target="#trend" /><Relationship Id="rId112" Type="http://schemas.openxmlformats.org/officeDocument/2006/relationships/hyperlink" Target="#trend" /><Relationship Id="rId113" Type="http://schemas.openxmlformats.org/officeDocument/2006/relationships/hyperlink" Target="#trend" /><Relationship Id="rId114" Type="http://schemas.openxmlformats.org/officeDocument/2006/relationships/hyperlink" Target="#trend" /><Relationship Id="rId115" Type="http://schemas.openxmlformats.org/officeDocument/2006/relationships/hyperlink" Target="#trend" /><Relationship Id="rId116" Type="http://schemas.openxmlformats.org/officeDocument/2006/relationships/hyperlink" Target="#trend" /><Relationship Id="rId117" Type="http://schemas.openxmlformats.org/officeDocument/2006/relationships/hyperlink" Target="#trend" /><Relationship Id="rId118" Type="http://schemas.openxmlformats.org/officeDocument/2006/relationships/hyperlink" Target="#trend" /><Relationship Id="rId119" Type="http://schemas.openxmlformats.org/officeDocument/2006/relationships/hyperlink" Target="#trend" /><Relationship Id="rId120" Type="http://schemas.openxmlformats.org/officeDocument/2006/relationships/hyperlink" Target="#trend" /><Relationship Id="rId121" Type="http://schemas.openxmlformats.org/officeDocument/2006/relationships/hyperlink" Target="#trend" /><Relationship Id="rId122" Type="http://schemas.openxmlformats.org/officeDocument/2006/relationships/hyperlink" Target="#trend" /><Relationship Id="rId123" Type="http://schemas.openxmlformats.org/officeDocument/2006/relationships/hyperlink" Target="#trend" /><Relationship Id="rId124" Type="http://schemas.openxmlformats.org/officeDocument/2006/relationships/hyperlink" Target="#trend" /><Relationship Id="rId125" Type="http://schemas.openxmlformats.org/officeDocument/2006/relationships/hyperlink" Target="#trend" /><Relationship Id="rId126" Type="http://schemas.openxmlformats.org/officeDocument/2006/relationships/hyperlink" Target="#trend" /><Relationship Id="rId127" Type="http://schemas.openxmlformats.org/officeDocument/2006/relationships/hyperlink" Target="#trend" /><Relationship Id="rId128" Type="http://schemas.openxmlformats.org/officeDocument/2006/relationships/hyperlink" Target="#trend" /><Relationship Id="rId129" Type="http://schemas.openxmlformats.org/officeDocument/2006/relationships/hyperlink" Target="#trend" /><Relationship Id="rId130" Type="http://schemas.openxmlformats.org/officeDocument/2006/relationships/hyperlink" Target="#trend" /><Relationship Id="rId131" Type="http://schemas.openxmlformats.org/officeDocument/2006/relationships/hyperlink" Target="#trend" /><Relationship Id="rId132" Type="http://schemas.openxmlformats.org/officeDocument/2006/relationships/hyperlink" Target="#trend" /><Relationship Id="rId133" Type="http://schemas.openxmlformats.org/officeDocument/2006/relationships/hyperlink" Target="#trend" /><Relationship Id="rId134" Type="http://schemas.openxmlformats.org/officeDocument/2006/relationships/hyperlink" Target="#trend" /><Relationship Id="rId135" Type="http://schemas.openxmlformats.org/officeDocument/2006/relationships/hyperlink" Target="#trend" /><Relationship Id="rId136" Type="http://schemas.openxmlformats.org/officeDocument/2006/relationships/hyperlink" Target="#trend" /><Relationship Id="rId137" Type="http://schemas.openxmlformats.org/officeDocument/2006/relationships/hyperlink" Target="#trend" /><Relationship Id="rId138" Type="http://schemas.openxmlformats.org/officeDocument/2006/relationships/hyperlink" Target="#trend" /><Relationship Id="rId139" Type="http://schemas.openxmlformats.org/officeDocument/2006/relationships/hyperlink" Target="#trend" /><Relationship Id="rId140" Type="http://schemas.openxmlformats.org/officeDocument/2006/relationships/hyperlink" Target="#trend" /><Relationship Id="rId141" Type="http://schemas.openxmlformats.org/officeDocument/2006/relationships/hyperlink" Target="#trend" /><Relationship Id="rId142" Type="http://schemas.openxmlformats.org/officeDocument/2006/relationships/hyperlink" Target="#trend" /><Relationship Id="rId143" Type="http://schemas.openxmlformats.org/officeDocument/2006/relationships/hyperlink" Target="#trend" /><Relationship Id="rId144" Type="http://schemas.openxmlformats.org/officeDocument/2006/relationships/hyperlink" Target="#trend" /><Relationship Id="rId145" Type="http://schemas.openxmlformats.org/officeDocument/2006/relationships/hyperlink" Target="#trend" /><Relationship Id="rId146" Type="http://schemas.openxmlformats.org/officeDocument/2006/relationships/hyperlink" Target="#trend" /><Relationship Id="rId147" Type="http://schemas.openxmlformats.org/officeDocument/2006/relationships/hyperlink" Target="#trend" /><Relationship Id="rId148" Type="http://schemas.openxmlformats.org/officeDocument/2006/relationships/hyperlink" Target="#trend" /><Relationship Id="rId149" Type="http://schemas.openxmlformats.org/officeDocument/2006/relationships/hyperlink" Target="#trend" /><Relationship Id="rId150" Type="http://schemas.openxmlformats.org/officeDocument/2006/relationships/hyperlink" Target="#trend" /><Relationship Id="rId151" Type="http://schemas.openxmlformats.org/officeDocument/2006/relationships/hyperlink" Target="#trend" /><Relationship Id="rId152" Type="http://schemas.openxmlformats.org/officeDocument/2006/relationships/hyperlink" Target="#trend" /><Relationship Id="rId153" Type="http://schemas.openxmlformats.org/officeDocument/2006/relationships/hyperlink" Target="#trend" /><Relationship Id="rId154" Type="http://schemas.openxmlformats.org/officeDocument/2006/relationships/hyperlink" Target="#trend" /><Relationship Id="rId155" Type="http://schemas.openxmlformats.org/officeDocument/2006/relationships/hyperlink" Target="#trend" /><Relationship Id="rId156" Type="http://schemas.openxmlformats.org/officeDocument/2006/relationships/hyperlink" Target="#trend" /><Relationship Id="rId157" Type="http://schemas.openxmlformats.org/officeDocument/2006/relationships/hyperlink" Target="#trend" /><Relationship Id="rId158" Type="http://schemas.openxmlformats.org/officeDocument/2006/relationships/hyperlink" Target="#trend" /><Relationship Id="rId159" Type="http://schemas.openxmlformats.org/officeDocument/2006/relationships/hyperlink" Target="#trend" /><Relationship Id="rId160" Type="http://schemas.openxmlformats.org/officeDocument/2006/relationships/hyperlink" Target="#trend" /><Relationship Id="rId161" Type="http://schemas.openxmlformats.org/officeDocument/2006/relationships/hyperlink" Target="#trend" /><Relationship Id="rId162" Type="http://schemas.openxmlformats.org/officeDocument/2006/relationships/hyperlink" Target="#trend" /><Relationship Id="rId163" Type="http://schemas.openxmlformats.org/officeDocument/2006/relationships/hyperlink" Target="#trend" /><Relationship Id="rId164" Type="http://schemas.openxmlformats.org/officeDocument/2006/relationships/hyperlink" Target="#trend" /><Relationship Id="rId165" Type="http://schemas.openxmlformats.org/officeDocument/2006/relationships/hyperlink" Target="#trend" /><Relationship Id="rId166" Type="http://schemas.openxmlformats.org/officeDocument/2006/relationships/hyperlink" Target="#trend" /><Relationship Id="rId167" Type="http://schemas.openxmlformats.org/officeDocument/2006/relationships/hyperlink" Target="#trend" /><Relationship Id="rId168" Type="http://schemas.openxmlformats.org/officeDocument/2006/relationships/hyperlink" Target="#trend" /><Relationship Id="rId169" Type="http://schemas.openxmlformats.org/officeDocument/2006/relationships/hyperlink" Target="#trend" /><Relationship Id="rId170" Type="http://schemas.openxmlformats.org/officeDocument/2006/relationships/hyperlink" Target="#trend" /><Relationship Id="rId171" Type="http://schemas.openxmlformats.org/officeDocument/2006/relationships/hyperlink" Target="#trend" /><Relationship Id="rId172" Type="http://schemas.openxmlformats.org/officeDocument/2006/relationships/hyperlink" Target="#trend" /><Relationship Id="rId173" Type="http://schemas.openxmlformats.org/officeDocument/2006/relationships/hyperlink" Target="top" TargetMode="External" /><Relationship Id="rId174" Type="http://schemas.openxmlformats.org/officeDocument/2006/relationships/hyperlink" Target="top" TargetMode="External" /><Relationship Id="rId175" Type="http://schemas.openxmlformats.org/officeDocument/2006/relationships/hyperlink" Target="#trend" /><Relationship Id="rId176" Type="http://schemas.openxmlformats.org/officeDocument/2006/relationships/hyperlink" Target="#trend" /><Relationship Id="rId177" Type="http://schemas.openxmlformats.org/officeDocument/2006/relationships/hyperlink" Target="#trend" /><Relationship Id="rId178" Type="http://schemas.openxmlformats.org/officeDocument/2006/relationships/hyperlink" Target="#trend" /><Relationship Id="rId179" Type="http://schemas.openxmlformats.org/officeDocument/2006/relationships/hyperlink" Target="#trend" /><Relationship Id="rId180" Type="http://schemas.openxmlformats.org/officeDocument/2006/relationships/hyperlink" Target="#trend" /><Relationship Id="rId181" Type="http://schemas.openxmlformats.org/officeDocument/2006/relationships/hyperlink" Target="#trend" /><Relationship Id="rId182" Type="http://schemas.openxmlformats.org/officeDocument/2006/relationships/hyperlink" Target="#trend" /><Relationship Id="rId183" Type="http://schemas.openxmlformats.org/officeDocument/2006/relationships/hyperlink" Target="#trend" /><Relationship Id="rId184" Type="http://schemas.openxmlformats.org/officeDocument/2006/relationships/hyperlink" Target="#trend" /><Relationship Id="rId185" Type="http://schemas.openxmlformats.org/officeDocument/2006/relationships/hyperlink" Target="#trend" /><Relationship Id="rId186" Type="http://schemas.openxmlformats.org/officeDocument/2006/relationships/hyperlink" Target="#trend" /><Relationship Id="rId187" Type="http://schemas.openxmlformats.org/officeDocument/2006/relationships/hyperlink" Target="#trend" /><Relationship Id="rId188" Type="http://schemas.openxmlformats.org/officeDocument/2006/relationships/hyperlink" Target="#trend" /><Relationship Id="rId189" Type="http://schemas.openxmlformats.org/officeDocument/2006/relationships/hyperlink" Target="#trend" /><Relationship Id="rId190" Type="http://schemas.openxmlformats.org/officeDocument/2006/relationships/hyperlink" Target="#trend" /><Relationship Id="rId191" Type="http://schemas.openxmlformats.org/officeDocument/2006/relationships/hyperlink" Target="#trend" /><Relationship Id="rId192" Type="http://schemas.openxmlformats.org/officeDocument/2006/relationships/hyperlink" Target="#trend" /><Relationship Id="rId193" Type="http://schemas.openxmlformats.org/officeDocument/2006/relationships/hyperlink" Target="#trend" /><Relationship Id="rId194" Type="http://schemas.openxmlformats.org/officeDocument/2006/relationships/hyperlink" Target="#trend" /><Relationship Id="rId195" Type="http://schemas.openxmlformats.org/officeDocument/2006/relationships/hyperlink" Target="#trend" /><Relationship Id="rId196" Type="http://schemas.openxmlformats.org/officeDocument/2006/relationships/hyperlink" Target="#trend" /><Relationship Id="rId197" Type="http://schemas.openxmlformats.org/officeDocument/2006/relationships/hyperlink" Target="#trend" /><Relationship Id="rId198" Type="http://schemas.openxmlformats.org/officeDocument/2006/relationships/hyperlink" Target="#trend" /><Relationship Id="rId199" Type="http://schemas.openxmlformats.org/officeDocument/2006/relationships/hyperlink" Target="#trend" /><Relationship Id="rId200" Type="http://schemas.openxmlformats.org/officeDocument/2006/relationships/hyperlink" Target="#trend" /><Relationship Id="rId201" Type="http://schemas.openxmlformats.org/officeDocument/2006/relationships/hyperlink" Target="#trend" /><Relationship Id="rId202" Type="http://schemas.openxmlformats.org/officeDocument/2006/relationships/hyperlink" Target="#trend" /><Relationship Id="rId203" Type="http://schemas.openxmlformats.org/officeDocument/2006/relationships/hyperlink" Target="#trend" /><Relationship Id="rId204" Type="http://schemas.openxmlformats.org/officeDocument/2006/relationships/hyperlink" Target="#trend" /><Relationship Id="rId205" Type="http://schemas.openxmlformats.org/officeDocument/2006/relationships/hyperlink" Target="#trend" /><Relationship Id="rId206" Type="http://schemas.openxmlformats.org/officeDocument/2006/relationships/hyperlink" Target="#trend" /><Relationship Id="rId207" Type="http://schemas.openxmlformats.org/officeDocument/2006/relationships/hyperlink" Target="#trend" /><Relationship Id="rId208" Type="http://schemas.openxmlformats.org/officeDocument/2006/relationships/hyperlink" Target="#trend" /><Relationship Id="rId209" Type="http://schemas.openxmlformats.org/officeDocument/2006/relationships/hyperlink" Target="#trend" /><Relationship Id="rId210" Type="http://schemas.openxmlformats.org/officeDocument/2006/relationships/hyperlink" Target="#trend" /><Relationship Id="rId211" Type="http://schemas.openxmlformats.org/officeDocument/2006/relationships/hyperlink" Target="#trend" /><Relationship Id="rId212" Type="http://schemas.openxmlformats.org/officeDocument/2006/relationships/hyperlink" Target="#trend" /><Relationship Id="rId213" Type="http://schemas.openxmlformats.org/officeDocument/2006/relationships/hyperlink" Target="#trend" /><Relationship Id="rId214" Type="http://schemas.openxmlformats.org/officeDocument/2006/relationships/hyperlink" Target="#trend" /><Relationship Id="rId215" Type="http://schemas.openxmlformats.org/officeDocument/2006/relationships/hyperlink" Target="#trend" /><Relationship Id="rId216" Type="http://schemas.openxmlformats.org/officeDocument/2006/relationships/hyperlink" Target="#trend" /><Relationship Id="rId217" Type="http://schemas.openxmlformats.org/officeDocument/2006/relationships/hyperlink" Target="#trend" /><Relationship Id="rId218" Type="http://schemas.openxmlformats.org/officeDocument/2006/relationships/hyperlink" Target="#trend" /><Relationship Id="rId219" Type="http://schemas.openxmlformats.org/officeDocument/2006/relationships/hyperlink" Target="#trend" /><Relationship Id="rId220" Type="http://schemas.openxmlformats.org/officeDocument/2006/relationships/hyperlink" Target="#trend" /><Relationship Id="rId221" Type="http://schemas.openxmlformats.org/officeDocument/2006/relationships/hyperlink" Target="#trend" /><Relationship Id="rId222" Type="http://schemas.openxmlformats.org/officeDocument/2006/relationships/hyperlink" Target="#trend" /><Relationship Id="rId223" Type="http://schemas.openxmlformats.org/officeDocument/2006/relationships/hyperlink" Target="#trend" /><Relationship Id="rId224" Type="http://schemas.openxmlformats.org/officeDocument/2006/relationships/hyperlink" Target="#trend" /><Relationship Id="rId225" Type="http://schemas.openxmlformats.org/officeDocument/2006/relationships/hyperlink" Target="#trend" /><Relationship Id="rId226" Type="http://schemas.openxmlformats.org/officeDocument/2006/relationships/hyperlink" Target="#trend" /><Relationship Id="rId227" Type="http://schemas.openxmlformats.org/officeDocument/2006/relationships/hyperlink" Target="#trend" /><Relationship Id="rId228" Type="http://schemas.openxmlformats.org/officeDocument/2006/relationships/hyperlink" Target="#trend" /><Relationship Id="rId229" Type="http://schemas.openxmlformats.org/officeDocument/2006/relationships/hyperlink" Target="#trend" /><Relationship Id="rId230" Type="http://schemas.openxmlformats.org/officeDocument/2006/relationships/hyperlink" Target="#trend" /><Relationship Id="rId231" Type="http://schemas.openxmlformats.org/officeDocument/2006/relationships/hyperlink" Target="#trend" /><Relationship Id="rId232" Type="http://schemas.openxmlformats.org/officeDocument/2006/relationships/hyperlink" Target="#trend" /><Relationship Id="rId233" Type="http://schemas.openxmlformats.org/officeDocument/2006/relationships/hyperlink" Target="#trend" /><Relationship Id="rId234" Type="http://schemas.openxmlformats.org/officeDocument/2006/relationships/hyperlink" Target="#trend" /><Relationship Id="rId235" Type="http://schemas.openxmlformats.org/officeDocument/2006/relationships/hyperlink" Target="#trend" /><Relationship Id="rId236" Type="http://schemas.openxmlformats.org/officeDocument/2006/relationships/hyperlink" Target="#trend" /><Relationship Id="rId237" Type="http://schemas.openxmlformats.org/officeDocument/2006/relationships/hyperlink" Target="#trend" /><Relationship Id="rId238" Type="http://schemas.openxmlformats.org/officeDocument/2006/relationships/hyperlink" Target="#trend" /><Relationship Id="rId239" Type="http://schemas.openxmlformats.org/officeDocument/2006/relationships/hyperlink" Target="#trend" /><Relationship Id="rId240" Type="http://schemas.openxmlformats.org/officeDocument/2006/relationships/hyperlink" Target="#trend" /><Relationship Id="rId241" Type="http://schemas.openxmlformats.org/officeDocument/2006/relationships/hyperlink" Target="#trend" /><Relationship Id="rId242" Type="http://schemas.openxmlformats.org/officeDocument/2006/relationships/hyperlink" Target="#trend" /><Relationship Id="rId243" Type="http://schemas.openxmlformats.org/officeDocument/2006/relationships/hyperlink" Target="#trend" /><Relationship Id="rId244" Type="http://schemas.openxmlformats.org/officeDocument/2006/relationships/hyperlink" Target="#trend" /><Relationship Id="rId245" Type="http://schemas.openxmlformats.org/officeDocument/2006/relationships/hyperlink" Target="#trend" /><Relationship Id="rId246" Type="http://schemas.openxmlformats.org/officeDocument/2006/relationships/hyperlink" Target="#trend" /><Relationship Id="rId247" Type="http://schemas.openxmlformats.org/officeDocument/2006/relationships/hyperlink" Target="#trend" /><Relationship Id="rId248" Type="http://schemas.openxmlformats.org/officeDocument/2006/relationships/hyperlink" Target="#trend" /><Relationship Id="rId249" Type="http://schemas.openxmlformats.org/officeDocument/2006/relationships/hyperlink" Target="#trend" /><Relationship Id="rId250" Type="http://schemas.openxmlformats.org/officeDocument/2006/relationships/hyperlink" Target="#trend" /><Relationship Id="rId251" Type="http://schemas.openxmlformats.org/officeDocument/2006/relationships/hyperlink" Target="#trend" /><Relationship Id="rId252" Type="http://schemas.openxmlformats.org/officeDocument/2006/relationships/hyperlink" Target="#trend" /><Relationship Id="rId253" Type="http://schemas.openxmlformats.org/officeDocument/2006/relationships/hyperlink" Target="#trend" /><Relationship Id="rId254" Type="http://schemas.openxmlformats.org/officeDocument/2006/relationships/hyperlink" Target="#trend" /><Relationship Id="rId255" Type="http://schemas.openxmlformats.org/officeDocument/2006/relationships/hyperlink" Target="#trend" /><Relationship Id="rId256" Type="http://schemas.openxmlformats.org/officeDocument/2006/relationships/hyperlink" Target="#trend" /><Relationship Id="rId257" Type="http://schemas.openxmlformats.org/officeDocument/2006/relationships/hyperlink" Target="#trend" /><Relationship Id="rId258" Type="http://schemas.openxmlformats.org/officeDocument/2006/relationships/hyperlink" Target="#trend" /><Relationship Id="rId259" Type="http://schemas.openxmlformats.org/officeDocument/2006/relationships/hyperlink" Target="#trend" /><Relationship Id="rId260" Type="http://schemas.openxmlformats.org/officeDocument/2006/relationships/hyperlink" Target="#trend" /><Relationship Id="rId261" Type="http://schemas.openxmlformats.org/officeDocument/2006/relationships/hyperlink" Target="#trend" /><Relationship Id="rId262" Type="http://schemas.openxmlformats.org/officeDocument/2006/relationships/hyperlink" Target="#trend" /><Relationship Id="rId263" Type="http://schemas.openxmlformats.org/officeDocument/2006/relationships/image" Target="../media/image6.png" /><Relationship Id="rId264" Type="http://schemas.openxmlformats.org/officeDocument/2006/relationships/hyperlink" Target="#trend" /><Relationship Id="rId265" Type="http://schemas.openxmlformats.org/officeDocument/2006/relationships/hyperlink" Target="#trend" /><Relationship Id="rId266" Type="http://schemas.openxmlformats.org/officeDocument/2006/relationships/hyperlink" Target="#trend" /><Relationship Id="rId267" Type="http://schemas.openxmlformats.org/officeDocument/2006/relationships/hyperlink" Target="#trend" /><Relationship Id="rId268" Type="http://schemas.openxmlformats.org/officeDocument/2006/relationships/hyperlink" Target="#trend" /><Relationship Id="rId269" Type="http://schemas.openxmlformats.org/officeDocument/2006/relationships/hyperlink" Target="#trend" /><Relationship Id="rId270" Type="http://schemas.openxmlformats.org/officeDocument/2006/relationships/hyperlink" Target="#trend" /><Relationship Id="rId271" Type="http://schemas.openxmlformats.org/officeDocument/2006/relationships/hyperlink" Target="#trend" /><Relationship Id="rId272" Type="http://schemas.openxmlformats.org/officeDocument/2006/relationships/hyperlink" Target="#trend" /><Relationship Id="rId273" Type="http://schemas.openxmlformats.org/officeDocument/2006/relationships/hyperlink" Target="#trend" /><Relationship Id="rId274" Type="http://schemas.openxmlformats.org/officeDocument/2006/relationships/hyperlink" Target="#trend" /><Relationship Id="rId275" Type="http://schemas.openxmlformats.org/officeDocument/2006/relationships/hyperlink" Target="#trend" /><Relationship Id="rId276" Type="http://schemas.openxmlformats.org/officeDocument/2006/relationships/hyperlink" Target="#trend" /><Relationship Id="rId277" Type="http://schemas.openxmlformats.org/officeDocument/2006/relationships/hyperlink" Target="#trend" /><Relationship Id="rId278" Type="http://schemas.openxmlformats.org/officeDocument/2006/relationships/hyperlink" Target="#trend" /><Relationship Id="rId279" Type="http://schemas.openxmlformats.org/officeDocument/2006/relationships/hyperlink" Target="#trend" /><Relationship Id="rId280" Type="http://schemas.openxmlformats.org/officeDocument/2006/relationships/hyperlink" Target="#trend" /><Relationship Id="rId281" Type="http://schemas.openxmlformats.org/officeDocument/2006/relationships/hyperlink" Target="#trend" /><Relationship Id="rId282" Type="http://schemas.openxmlformats.org/officeDocument/2006/relationships/hyperlink" Target="#trend" /><Relationship Id="rId283" Type="http://schemas.openxmlformats.org/officeDocument/2006/relationships/hyperlink" Target="#trend" /><Relationship Id="rId284" Type="http://schemas.openxmlformats.org/officeDocument/2006/relationships/hyperlink" Target="#trend" /><Relationship Id="rId285" Type="http://schemas.openxmlformats.org/officeDocument/2006/relationships/hyperlink" Target="#trend" /><Relationship Id="rId286" Type="http://schemas.openxmlformats.org/officeDocument/2006/relationships/hyperlink" Target="#trend" /><Relationship Id="rId287" Type="http://schemas.openxmlformats.org/officeDocument/2006/relationships/hyperlink" Target="#trend" /><Relationship Id="rId288" Type="http://schemas.openxmlformats.org/officeDocument/2006/relationships/hyperlink" Target="#trend" /><Relationship Id="rId289" Type="http://schemas.openxmlformats.org/officeDocument/2006/relationships/hyperlink" Target="#trend" /><Relationship Id="rId290" Type="http://schemas.openxmlformats.org/officeDocument/2006/relationships/hyperlink" Target="#trend" /><Relationship Id="rId291" Type="http://schemas.openxmlformats.org/officeDocument/2006/relationships/hyperlink" Target="#trend" /><Relationship Id="rId292" Type="http://schemas.openxmlformats.org/officeDocument/2006/relationships/hyperlink" Target="#trend" /><Relationship Id="rId293" Type="http://schemas.openxmlformats.org/officeDocument/2006/relationships/hyperlink" Target="#trend" /><Relationship Id="rId294" Type="http://schemas.openxmlformats.org/officeDocument/2006/relationships/hyperlink" Target="#trend" /><Relationship Id="rId295" Type="http://schemas.openxmlformats.org/officeDocument/2006/relationships/hyperlink" Target="#trend" /><Relationship Id="rId296" Type="http://schemas.openxmlformats.org/officeDocument/2006/relationships/hyperlink" Target="#trend" /><Relationship Id="rId297" Type="http://schemas.openxmlformats.org/officeDocument/2006/relationships/hyperlink" Target="#trend" /><Relationship Id="rId298" Type="http://schemas.openxmlformats.org/officeDocument/2006/relationships/hyperlink" Target="#trend" /><Relationship Id="rId299" Type="http://schemas.openxmlformats.org/officeDocument/2006/relationships/hyperlink" Target="#trend" /><Relationship Id="rId300" Type="http://schemas.openxmlformats.org/officeDocument/2006/relationships/hyperlink" Target="#trend" /><Relationship Id="rId301" Type="http://schemas.openxmlformats.org/officeDocument/2006/relationships/hyperlink" Target="#trend" /><Relationship Id="rId302" Type="http://schemas.openxmlformats.org/officeDocument/2006/relationships/hyperlink" Target="#trend" /><Relationship Id="rId303" Type="http://schemas.openxmlformats.org/officeDocument/2006/relationships/hyperlink" Target="#trend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trend" /><Relationship Id="rId4" Type="http://schemas.openxmlformats.org/officeDocument/2006/relationships/hyperlink" Target="#trend" /><Relationship Id="rId5" Type="http://schemas.openxmlformats.org/officeDocument/2006/relationships/hyperlink" Target="#trend" /><Relationship Id="rId6" Type="http://schemas.openxmlformats.org/officeDocument/2006/relationships/hyperlink" Target="#trend" /><Relationship Id="rId7" Type="http://schemas.openxmlformats.org/officeDocument/2006/relationships/hyperlink" Target="#trend" /><Relationship Id="rId8" Type="http://schemas.openxmlformats.org/officeDocument/2006/relationships/hyperlink" Target="#trend" /><Relationship Id="rId9" Type="http://schemas.openxmlformats.org/officeDocument/2006/relationships/hyperlink" Target="#trend" /><Relationship Id="rId10" Type="http://schemas.openxmlformats.org/officeDocument/2006/relationships/hyperlink" Target="#trend" /><Relationship Id="rId11" Type="http://schemas.openxmlformats.org/officeDocument/2006/relationships/hyperlink" Target="#trend" /><Relationship Id="rId12" Type="http://schemas.openxmlformats.org/officeDocument/2006/relationships/hyperlink" Target="#trend" /><Relationship Id="rId13" Type="http://schemas.openxmlformats.org/officeDocument/2006/relationships/hyperlink" Target="#trend" /><Relationship Id="rId14" Type="http://schemas.openxmlformats.org/officeDocument/2006/relationships/hyperlink" Target="#trend" /><Relationship Id="rId15" Type="http://schemas.openxmlformats.org/officeDocument/2006/relationships/hyperlink" Target="#trend" /><Relationship Id="rId16" Type="http://schemas.openxmlformats.org/officeDocument/2006/relationships/hyperlink" Target="#trend" /><Relationship Id="rId17" Type="http://schemas.openxmlformats.org/officeDocument/2006/relationships/hyperlink" Target="#trend" /><Relationship Id="rId18" Type="http://schemas.openxmlformats.org/officeDocument/2006/relationships/hyperlink" Target="#trend" /><Relationship Id="rId19" Type="http://schemas.openxmlformats.org/officeDocument/2006/relationships/hyperlink" Target="#trend" /><Relationship Id="rId20" Type="http://schemas.openxmlformats.org/officeDocument/2006/relationships/hyperlink" Target="#trend" /><Relationship Id="rId21" Type="http://schemas.openxmlformats.org/officeDocument/2006/relationships/hyperlink" Target="#trend" /><Relationship Id="rId22" Type="http://schemas.openxmlformats.org/officeDocument/2006/relationships/hyperlink" Target="#trend" /><Relationship Id="rId23" Type="http://schemas.openxmlformats.org/officeDocument/2006/relationships/hyperlink" Target="#trend" /><Relationship Id="rId24" Type="http://schemas.openxmlformats.org/officeDocument/2006/relationships/hyperlink" Target="#trend" /><Relationship Id="rId25" Type="http://schemas.openxmlformats.org/officeDocument/2006/relationships/hyperlink" Target="#trend" /><Relationship Id="rId26" Type="http://schemas.openxmlformats.org/officeDocument/2006/relationships/hyperlink" Target="#trend" /><Relationship Id="rId27" Type="http://schemas.openxmlformats.org/officeDocument/2006/relationships/hyperlink" Target="#trend" /><Relationship Id="rId28" Type="http://schemas.openxmlformats.org/officeDocument/2006/relationships/hyperlink" Target="#trend" /><Relationship Id="rId29" Type="http://schemas.openxmlformats.org/officeDocument/2006/relationships/hyperlink" Target="#trend" /><Relationship Id="rId30" Type="http://schemas.openxmlformats.org/officeDocument/2006/relationships/hyperlink" Target="#trend" /><Relationship Id="rId31" Type="http://schemas.openxmlformats.org/officeDocument/2006/relationships/hyperlink" Target="#trend" /><Relationship Id="rId32" Type="http://schemas.openxmlformats.org/officeDocument/2006/relationships/hyperlink" Target="#trend" /><Relationship Id="rId33" Type="http://schemas.openxmlformats.org/officeDocument/2006/relationships/hyperlink" Target="#trend" /><Relationship Id="rId34" Type="http://schemas.openxmlformats.org/officeDocument/2006/relationships/hyperlink" Target="#trend" /><Relationship Id="rId35" Type="http://schemas.openxmlformats.org/officeDocument/2006/relationships/hyperlink" Target="#trend" /><Relationship Id="rId36" Type="http://schemas.openxmlformats.org/officeDocument/2006/relationships/hyperlink" Target="#trend" /><Relationship Id="rId37" Type="http://schemas.openxmlformats.org/officeDocument/2006/relationships/hyperlink" Target="#trend" /><Relationship Id="rId38" Type="http://schemas.openxmlformats.org/officeDocument/2006/relationships/hyperlink" Target="#trend" /><Relationship Id="rId39" Type="http://schemas.openxmlformats.org/officeDocument/2006/relationships/hyperlink" Target="#trend" /><Relationship Id="rId40" Type="http://schemas.openxmlformats.org/officeDocument/2006/relationships/hyperlink" Target="#trend" /><Relationship Id="rId41" Type="http://schemas.openxmlformats.org/officeDocument/2006/relationships/hyperlink" Target="#trend" /><Relationship Id="rId42" Type="http://schemas.openxmlformats.org/officeDocument/2006/relationships/hyperlink" Target="#trend" /><Relationship Id="rId43" Type="http://schemas.openxmlformats.org/officeDocument/2006/relationships/hyperlink" Target="#trend" /><Relationship Id="rId44" Type="http://schemas.openxmlformats.org/officeDocument/2006/relationships/hyperlink" Target="#trend" /><Relationship Id="rId45" Type="http://schemas.openxmlformats.org/officeDocument/2006/relationships/hyperlink" Target="#trend" /><Relationship Id="rId46" Type="http://schemas.openxmlformats.org/officeDocument/2006/relationships/hyperlink" Target="#trend" /><Relationship Id="rId47" Type="http://schemas.openxmlformats.org/officeDocument/2006/relationships/hyperlink" Target="#trend" /><Relationship Id="rId48" Type="http://schemas.openxmlformats.org/officeDocument/2006/relationships/hyperlink" Target="#trend" /><Relationship Id="rId49" Type="http://schemas.openxmlformats.org/officeDocument/2006/relationships/hyperlink" Target="#trend" /><Relationship Id="rId50" Type="http://schemas.openxmlformats.org/officeDocument/2006/relationships/hyperlink" Target="#trend" /><Relationship Id="rId51" Type="http://schemas.openxmlformats.org/officeDocument/2006/relationships/hyperlink" Target="#trend" /><Relationship Id="rId52" Type="http://schemas.openxmlformats.org/officeDocument/2006/relationships/hyperlink" Target="#trend" /><Relationship Id="rId53" Type="http://schemas.openxmlformats.org/officeDocument/2006/relationships/hyperlink" Target="#trend" /><Relationship Id="rId54" Type="http://schemas.openxmlformats.org/officeDocument/2006/relationships/hyperlink" Target="#trend" /><Relationship Id="rId55" Type="http://schemas.openxmlformats.org/officeDocument/2006/relationships/hyperlink" Target="#trend" /><Relationship Id="rId56" Type="http://schemas.openxmlformats.org/officeDocument/2006/relationships/hyperlink" Target="#trend" /><Relationship Id="rId57" Type="http://schemas.openxmlformats.org/officeDocument/2006/relationships/hyperlink" Target="#trend" /><Relationship Id="rId58" Type="http://schemas.openxmlformats.org/officeDocument/2006/relationships/hyperlink" Target="#trend" /><Relationship Id="rId59" Type="http://schemas.openxmlformats.org/officeDocument/2006/relationships/hyperlink" Target="#trend" /><Relationship Id="rId60" Type="http://schemas.openxmlformats.org/officeDocument/2006/relationships/hyperlink" Target="#trend" /><Relationship Id="rId61" Type="http://schemas.openxmlformats.org/officeDocument/2006/relationships/image" Target="../media/image3.png" /><Relationship Id="rId62" Type="http://schemas.openxmlformats.org/officeDocument/2006/relationships/image" Target="../media/image4.png" /><Relationship Id="rId63" Type="http://schemas.openxmlformats.org/officeDocument/2006/relationships/hyperlink" Target="top" TargetMode="External" /><Relationship Id="rId64" Type="http://schemas.openxmlformats.org/officeDocument/2006/relationships/hyperlink" Target="top" TargetMode="External" /><Relationship Id="rId65" Type="http://schemas.openxmlformats.org/officeDocument/2006/relationships/hyperlink" Target="#trend" /><Relationship Id="rId66" Type="http://schemas.openxmlformats.org/officeDocument/2006/relationships/hyperlink" Target="#trend" /><Relationship Id="rId67" Type="http://schemas.openxmlformats.org/officeDocument/2006/relationships/hyperlink" Target="#trend" /><Relationship Id="rId68" Type="http://schemas.openxmlformats.org/officeDocument/2006/relationships/hyperlink" Target="#trend" /><Relationship Id="rId69" Type="http://schemas.openxmlformats.org/officeDocument/2006/relationships/hyperlink" Target="#trend" /><Relationship Id="rId70" Type="http://schemas.openxmlformats.org/officeDocument/2006/relationships/hyperlink" Target="#trend" /><Relationship Id="rId71" Type="http://schemas.openxmlformats.org/officeDocument/2006/relationships/hyperlink" Target="#trend" /><Relationship Id="rId72" Type="http://schemas.openxmlformats.org/officeDocument/2006/relationships/hyperlink" Target="#trend" /><Relationship Id="rId73" Type="http://schemas.openxmlformats.org/officeDocument/2006/relationships/hyperlink" Target="#trend" /><Relationship Id="rId74" Type="http://schemas.openxmlformats.org/officeDocument/2006/relationships/hyperlink" Target="#trend" /><Relationship Id="rId75" Type="http://schemas.openxmlformats.org/officeDocument/2006/relationships/hyperlink" Target="#trend" /><Relationship Id="rId76" Type="http://schemas.openxmlformats.org/officeDocument/2006/relationships/hyperlink" Target="#trend" /><Relationship Id="rId77" Type="http://schemas.openxmlformats.org/officeDocument/2006/relationships/hyperlink" Target="#trend" /><Relationship Id="rId78" Type="http://schemas.openxmlformats.org/officeDocument/2006/relationships/hyperlink" Target="#trend" /><Relationship Id="rId79" Type="http://schemas.openxmlformats.org/officeDocument/2006/relationships/hyperlink" Target="#trend" /><Relationship Id="rId80" Type="http://schemas.openxmlformats.org/officeDocument/2006/relationships/hyperlink" Target="#trend" /><Relationship Id="rId81" Type="http://schemas.openxmlformats.org/officeDocument/2006/relationships/hyperlink" Target="#trend" /><Relationship Id="rId82" Type="http://schemas.openxmlformats.org/officeDocument/2006/relationships/hyperlink" Target="#trend" /><Relationship Id="rId83" Type="http://schemas.openxmlformats.org/officeDocument/2006/relationships/hyperlink" Target="#trend" /><Relationship Id="rId84" Type="http://schemas.openxmlformats.org/officeDocument/2006/relationships/hyperlink" Target="#trend" /><Relationship Id="rId85" Type="http://schemas.openxmlformats.org/officeDocument/2006/relationships/hyperlink" Target="#trend" /><Relationship Id="rId86" Type="http://schemas.openxmlformats.org/officeDocument/2006/relationships/hyperlink" Target="#trend" /><Relationship Id="rId87" Type="http://schemas.openxmlformats.org/officeDocument/2006/relationships/hyperlink" Target="#trend" /><Relationship Id="rId88" Type="http://schemas.openxmlformats.org/officeDocument/2006/relationships/hyperlink" Target="#trend" /><Relationship Id="rId89" Type="http://schemas.openxmlformats.org/officeDocument/2006/relationships/hyperlink" Target="#trend" /><Relationship Id="rId90" Type="http://schemas.openxmlformats.org/officeDocument/2006/relationships/hyperlink" Target="#trend" /><Relationship Id="rId91" Type="http://schemas.openxmlformats.org/officeDocument/2006/relationships/hyperlink" Target="#trend" /><Relationship Id="rId92" Type="http://schemas.openxmlformats.org/officeDocument/2006/relationships/hyperlink" Target="#trend" /><Relationship Id="rId93" Type="http://schemas.openxmlformats.org/officeDocument/2006/relationships/hyperlink" Target="#trend" /><Relationship Id="rId94" Type="http://schemas.openxmlformats.org/officeDocument/2006/relationships/hyperlink" Target="#trend" /><Relationship Id="rId95" Type="http://schemas.openxmlformats.org/officeDocument/2006/relationships/hyperlink" Target="#trend" /><Relationship Id="rId96" Type="http://schemas.openxmlformats.org/officeDocument/2006/relationships/hyperlink" Target="#trend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0</xdr:rowOff>
    </xdr:from>
    <xdr:to>
      <xdr:col>3</xdr:col>
      <xdr:colOff>28575</xdr:colOff>
      <xdr:row>17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6670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28575</xdr:colOff>
      <xdr:row>17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28575</xdr:colOff>
      <xdr:row>17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6670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28575</xdr:colOff>
      <xdr:row>17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6670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</xdr:colOff>
      <xdr:row>17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6670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28575</xdr:colOff>
      <xdr:row>17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6670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28575</xdr:colOff>
      <xdr:row>17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28575</xdr:colOff>
      <xdr:row>17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6670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28575</xdr:colOff>
      <xdr:row>17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6670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</xdr:colOff>
      <xdr:row>17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6670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28575</xdr:colOff>
      <xdr:row>17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6670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28575</xdr:colOff>
      <xdr:row>17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6670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3241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3" name="Picture 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4" name="Picture 4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85725</xdr:colOff>
      <xdr:row>16</xdr:row>
      <xdr:rowOff>114300</xdr:rowOff>
    </xdr:to>
    <xdr:pic>
      <xdr:nvPicPr>
        <xdr:cNvPr id="5" name="Picture 5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85725</xdr:colOff>
      <xdr:row>16</xdr:row>
      <xdr:rowOff>114300</xdr:rowOff>
    </xdr:to>
    <xdr:pic>
      <xdr:nvPicPr>
        <xdr:cNvPr id="6" name="Picture 6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7" name="Picture 7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8" name="Picture 8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9" name="Picture 9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85725</xdr:colOff>
      <xdr:row>16</xdr:row>
      <xdr:rowOff>114300</xdr:rowOff>
    </xdr:to>
    <xdr:pic>
      <xdr:nvPicPr>
        <xdr:cNvPr id="10" name="Picture 10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11" name="Picture 11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12" name="Picture 12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13" name="Picture 1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85725</xdr:colOff>
      <xdr:row>16</xdr:row>
      <xdr:rowOff>114300</xdr:rowOff>
    </xdr:to>
    <xdr:pic>
      <xdr:nvPicPr>
        <xdr:cNvPr id="14" name="Picture 14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15" name="Picture 15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16" name="Picture 16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17" name="Picture 17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85725</xdr:colOff>
      <xdr:row>16</xdr:row>
      <xdr:rowOff>114300</xdr:rowOff>
    </xdr:to>
    <xdr:pic>
      <xdr:nvPicPr>
        <xdr:cNvPr id="18" name="Picture 18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19" name="Picture 19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20" name="Picture 20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21" name="Picture 21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85725</xdr:colOff>
      <xdr:row>16</xdr:row>
      <xdr:rowOff>114300</xdr:rowOff>
    </xdr:to>
    <xdr:pic>
      <xdr:nvPicPr>
        <xdr:cNvPr id="22" name="Picture 22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24" name="Picture 24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25" name="Picture 25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85725</xdr:colOff>
      <xdr:row>16</xdr:row>
      <xdr:rowOff>114300</xdr:rowOff>
    </xdr:to>
    <xdr:pic>
      <xdr:nvPicPr>
        <xdr:cNvPr id="26" name="Picture 26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27" name="Picture 27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28" name="Picture 28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29" name="Picture 29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30" name="Picture 30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428625</xdr:colOff>
      <xdr:row>16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6958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428625</xdr:colOff>
      <xdr:row>16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6958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428625</xdr:colOff>
      <xdr:row>16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6958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428625</xdr:colOff>
      <xdr:row>16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6958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428625</xdr:colOff>
      <xdr:row>16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6958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428625</xdr:colOff>
      <xdr:row>16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6958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428625</xdr:colOff>
      <xdr:row>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6958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428625</xdr:colOff>
      <xdr:row>16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6958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428625</xdr:colOff>
      <xdr:row>16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6958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428625</xdr:colOff>
      <xdr:row>16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6958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428625</xdr:colOff>
      <xdr:row>16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6958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428625</xdr:colOff>
      <xdr:row>16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6958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428625</xdr:colOff>
      <xdr:row>16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6958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457200</xdr:colOff>
      <xdr:row>17</xdr:row>
      <xdr:rowOff>47625</xdr:rowOff>
    </xdr:to>
    <xdr:pic>
      <xdr:nvPicPr>
        <xdr:cNvPr id="44" name="Picture 44" descr="top">
          <a:hlinkClick r:id="rId64"/>
        </xdr:cNvPr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962025" y="2324100"/>
          <a:ext cx="457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</xdr:colOff>
      <xdr:row>18</xdr:row>
      <xdr:rowOff>76200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553325" y="232410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85725</xdr:colOff>
      <xdr:row>16</xdr:row>
      <xdr:rowOff>114300</xdr:rowOff>
    </xdr:to>
    <xdr:pic>
      <xdr:nvPicPr>
        <xdr:cNvPr id="46" name="Picture 46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47" name="Picture 47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48" name="Picture 48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49" name="Picture 49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18</xdr:row>
      <xdr:rowOff>76200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115175" y="232410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85725</xdr:colOff>
      <xdr:row>16</xdr:row>
      <xdr:rowOff>114300</xdr:rowOff>
    </xdr:to>
    <xdr:pic>
      <xdr:nvPicPr>
        <xdr:cNvPr id="51" name="Picture 51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85725</xdr:colOff>
      <xdr:row>16</xdr:row>
      <xdr:rowOff>114300</xdr:rowOff>
    </xdr:to>
    <xdr:pic>
      <xdr:nvPicPr>
        <xdr:cNvPr id="52" name="Picture 52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85725</xdr:colOff>
      <xdr:row>16</xdr:row>
      <xdr:rowOff>114300</xdr:rowOff>
    </xdr:to>
    <xdr:pic>
      <xdr:nvPicPr>
        <xdr:cNvPr id="53" name="Picture 5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85725</xdr:colOff>
      <xdr:row>16</xdr:row>
      <xdr:rowOff>114300</xdr:rowOff>
    </xdr:to>
    <xdr:pic>
      <xdr:nvPicPr>
        <xdr:cNvPr id="54" name="Picture 54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114300</xdr:rowOff>
    </xdr:to>
    <xdr:pic>
      <xdr:nvPicPr>
        <xdr:cNvPr id="55" name="Picture 55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114300</xdr:rowOff>
    </xdr:to>
    <xdr:pic>
      <xdr:nvPicPr>
        <xdr:cNvPr id="56" name="Picture 56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57" name="Picture 57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58" name="Picture 58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114300</xdr:rowOff>
    </xdr:to>
    <xdr:pic>
      <xdr:nvPicPr>
        <xdr:cNvPr id="59" name="Picture 59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114300</xdr:rowOff>
    </xdr:to>
    <xdr:pic>
      <xdr:nvPicPr>
        <xdr:cNvPr id="60" name="Picture 60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61" name="Picture 61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62" name="Picture 62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114300</xdr:rowOff>
    </xdr:to>
    <xdr:pic>
      <xdr:nvPicPr>
        <xdr:cNvPr id="63" name="Picture 63">
          <a:hlinkClick r:id="rId9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114300</xdr:rowOff>
    </xdr:to>
    <xdr:pic>
      <xdr:nvPicPr>
        <xdr:cNvPr id="64" name="Picture 64">
          <a:hlinkClick r:id="rId10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65" name="Picture 65">
          <a:hlinkClick r:id="rId10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66" name="Picture 66">
          <a:hlinkClick r:id="rId10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114300</xdr:rowOff>
    </xdr:to>
    <xdr:pic>
      <xdr:nvPicPr>
        <xdr:cNvPr id="67" name="Picture 67">
          <a:hlinkClick r:id="rId10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114300</xdr:rowOff>
    </xdr:to>
    <xdr:pic>
      <xdr:nvPicPr>
        <xdr:cNvPr id="68" name="Picture 68">
          <a:hlinkClick r:id="rId10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69" name="Picture 69">
          <a:hlinkClick r:id="rId1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70" name="Picture 70">
          <a:hlinkClick r:id="rId1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114300</xdr:rowOff>
    </xdr:to>
    <xdr:pic>
      <xdr:nvPicPr>
        <xdr:cNvPr id="71" name="Picture 71">
          <a:hlinkClick r:id="rId1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114300</xdr:rowOff>
    </xdr:to>
    <xdr:pic>
      <xdr:nvPicPr>
        <xdr:cNvPr id="72" name="Picture 72">
          <a:hlinkClick r:id="rId1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73" name="Picture 73">
          <a:hlinkClick r:id="rId1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74" name="Picture 74">
          <a:hlinkClick r:id="rId1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114300</xdr:rowOff>
    </xdr:to>
    <xdr:pic>
      <xdr:nvPicPr>
        <xdr:cNvPr id="75" name="Picture 75">
          <a:hlinkClick r:id="rId1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114300</xdr:rowOff>
    </xdr:to>
    <xdr:pic>
      <xdr:nvPicPr>
        <xdr:cNvPr id="76" name="Picture 76">
          <a:hlinkClick r:id="rId1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77" name="Picture 77">
          <a:hlinkClick r:id="rId1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78" name="Picture 78">
          <a:hlinkClick r:id="rId1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79" name="Picture 79">
          <a:hlinkClick r:id="rId1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85725</xdr:colOff>
      <xdr:row>16</xdr:row>
      <xdr:rowOff>114300</xdr:rowOff>
    </xdr:to>
    <xdr:pic>
      <xdr:nvPicPr>
        <xdr:cNvPr id="80" name="Picture 80">
          <a:hlinkClick r:id="rId1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81" name="Picture 81">
          <a:hlinkClick r:id="rId1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82" name="Picture 82">
          <a:hlinkClick r:id="rId1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114300</xdr:rowOff>
    </xdr:to>
    <xdr:pic>
      <xdr:nvPicPr>
        <xdr:cNvPr id="83" name="Picture 83">
          <a:hlinkClick r:id="rId1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114300</xdr:rowOff>
    </xdr:to>
    <xdr:pic>
      <xdr:nvPicPr>
        <xdr:cNvPr id="84" name="Picture 84">
          <a:hlinkClick r:id="rId1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85" name="Picture 85">
          <a:hlinkClick r:id="rId1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86" name="Picture 86">
          <a:hlinkClick r:id="rId1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16</xdr:row>
      <xdr:rowOff>114300</xdr:rowOff>
    </xdr:to>
    <xdr:pic>
      <xdr:nvPicPr>
        <xdr:cNvPr id="87" name="Picture 87">
          <a:hlinkClick r:id="rId1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</xdr:colOff>
      <xdr:row>18</xdr:row>
      <xdr:rowOff>76200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677025" y="232410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89" name="Picture 89">
          <a:hlinkClick r:id="rId1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85725</xdr:colOff>
      <xdr:row>16</xdr:row>
      <xdr:rowOff>114300</xdr:rowOff>
    </xdr:to>
    <xdr:pic>
      <xdr:nvPicPr>
        <xdr:cNvPr id="90" name="Picture 90">
          <a:hlinkClick r:id="rId1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91" name="Picture 91">
          <a:hlinkClick r:id="rId1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92" name="Picture 92">
          <a:hlinkClick r:id="rId1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93" name="Picture 93">
          <a:hlinkClick r:id="rId1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85725</xdr:colOff>
      <xdr:row>16</xdr:row>
      <xdr:rowOff>114300</xdr:rowOff>
    </xdr:to>
    <xdr:pic>
      <xdr:nvPicPr>
        <xdr:cNvPr id="94" name="Picture 94">
          <a:hlinkClick r:id="rId1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95" name="Picture 95">
          <a:hlinkClick r:id="rId1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96" name="Picture 96">
          <a:hlinkClick r:id="rId1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97" name="Picture 97">
          <a:hlinkClick r:id="rId1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85725</xdr:colOff>
      <xdr:row>16</xdr:row>
      <xdr:rowOff>114300</xdr:rowOff>
    </xdr:to>
    <xdr:pic>
      <xdr:nvPicPr>
        <xdr:cNvPr id="98" name="Picture 98">
          <a:hlinkClick r:id="rId1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99" name="Picture 99">
          <a:hlinkClick r:id="rId1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100" name="Picture 100">
          <a:hlinkClick r:id="rId1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101" name="Picture 101">
          <a:hlinkClick r:id="rId1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428625</xdr:colOff>
      <xdr:row>16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428625</xdr:colOff>
      <xdr:row>16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428625</xdr:colOff>
      <xdr:row>16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428625</xdr:colOff>
      <xdr:row>16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428625</xdr:colOff>
      <xdr:row>16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428625</xdr:colOff>
      <xdr:row>16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428625</xdr:colOff>
      <xdr:row>16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428625</xdr:colOff>
      <xdr:row>16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428625</xdr:colOff>
      <xdr:row>16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428625</xdr:colOff>
      <xdr:row>16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428625</xdr:colOff>
      <xdr:row>16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428625</xdr:colOff>
      <xdr:row>16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428625</xdr:colOff>
      <xdr:row>16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409575</xdr:colOff>
      <xdr:row>16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09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409575</xdr:colOff>
      <xdr:row>16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9525" y="2324100"/>
          <a:ext cx="409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457200</xdr:colOff>
      <xdr:row>17</xdr:row>
      <xdr:rowOff>47625</xdr:rowOff>
    </xdr:to>
    <xdr:pic>
      <xdr:nvPicPr>
        <xdr:cNvPr id="117" name="Picture 117" descr="top">
          <a:hlinkClick r:id="rId174"/>
        </xdr:cNvPr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962025" y="2324100"/>
          <a:ext cx="457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118" name="Picture 118">
          <a:hlinkClick r:id="rId1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16</xdr:row>
      <xdr:rowOff>114300</xdr:rowOff>
    </xdr:to>
    <xdr:pic>
      <xdr:nvPicPr>
        <xdr:cNvPr id="119" name="Picture 119">
          <a:hlinkClick r:id="rId1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114300</xdr:rowOff>
    </xdr:to>
    <xdr:pic>
      <xdr:nvPicPr>
        <xdr:cNvPr id="120" name="Picture 120">
          <a:hlinkClick r:id="rId1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121" name="Picture 121">
          <a:hlinkClick r:id="rId1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122" name="Picture 122">
          <a:hlinkClick r:id="rId1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85725</xdr:colOff>
      <xdr:row>16</xdr:row>
      <xdr:rowOff>114300</xdr:rowOff>
    </xdr:to>
    <xdr:pic>
      <xdr:nvPicPr>
        <xdr:cNvPr id="123" name="Picture 123">
          <a:hlinkClick r:id="rId1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124" name="Picture 124">
          <a:hlinkClick r:id="rId1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125" name="Picture 125">
          <a:hlinkClick r:id="rId1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126" name="Picture 126">
          <a:hlinkClick r:id="rId1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85725</xdr:colOff>
      <xdr:row>16</xdr:row>
      <xdr:rowOff>114300</xdr:rowOff>
    </xdr:to>
    <xdr:pic>
      <xdr:nvPicPr>
        <xdr:cNvPr id="127" name="Picture 127">
          <a:hlinkClick r:id="rId1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128" name="Picture 128">
          <a:hlinkClick r:id="rId1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129" name="Picture 129">
          <a:hlinkClick r:id="rId19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130" name="Picture 130">
          <a:hlinkClick r:id="rId20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16</xdr:row>
      <xdr:rowOff>114300</xdr:rowOff>
    </xdr:to>
    <xdr:pic>
      <xdr:nvPicPr>
        <xdr:cNvPr id="131" name="Picture 131">
          <a:hlinkClick r:id="rId20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114300</xdr:rowOff>
    </xdr:to>
    <xdr:pic>
      <xdr:nvPicPr>
        <xdr:cNvPr id="132" name="Picture 132">
          <a:hlinkClick r:id="rId20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133" name="Picture 133">
          <a:hlinkClick r:id="rId20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134" name="Picture 134">
          <a:hlinkClick r:id="rId20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16</xdr:row>
      <xdr:rowOff>114300</xdr:rowOff>
    </xdr:to>
    <xdr:pic>
      <xdr:nvPicPr>
        <xdr:cNvPr id="135" name="Picture 135">
          <a:hlinkClick r:id="rId2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114300</xdr:rowOff>
    </xdr:to>
    <xdr:pic>
      <xdr:nvPicPr>
        <xdr:cNvPr id="136" name="Picture 136">
          <a:hlinkClick r:id="rId2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137" name="Picture 137">
          <a:hlinkClick r:id="rId2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138" name="Picture 138">
          <a:hlinkClick r:id="rId2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16</xdr:row>
      <xdr:rowOff>114300</xdr:rowOff>
    </xdr:to>
    <xdr:pic>
      <xdr:nvPicPr>
        <xdr:cNvPr id="139" name="Picture 139">
          <a:hlinkClick r:id="rId2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114300</xdr:rowOff>
    </xdr:to>
    <xdr:pic>
      <xdr:nvPicPr>
        <xdr:cNvPr id="140" name="Picture 140">
          <a:hlinkClick r:id="rId2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141" name="Picture 141">
          <a:hlinkClick r:id="rId2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142" name="Picture 142">
          <a:hlinkClick r:id="rId2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85725</xdr:colOff>
      <xdr:row>16</xdr:row>
      <xdr:rowOff>114300</xdr:rowOff>
    </xdr:to>
    <xdr:pic>
      <xdr:nvPicPr>
        <xdr:cNvPr id="143" name="Picture 143">
          <a:hlinkClick r:id="rId2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144" name="Picture 144">
          <a:hlinkClick r:id="rId2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145" name="Picture 145">
          <a:hlinkClick r:id="rId2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114300</xdr:rowOff>
    </xdr:to>
    <xdr:pic>
      <xdr:nvPicPr>
        <xdr:cNvPr id="146" name="Picture 146">
          <a:hlinkClick r:id="rId2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16</xdr:row>
      <xdr:rowOff>114300</xdr:rowOff>
    </xdr:to>
    <xdr:pic>
      <xdr:nvPicPr>
        <xdr:cNvPr id="147" name="Picture 147">
          <a:hlinkClick r:id="rId2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114300</xdr:rowOff>
    </xdr:to>
    <xdr:pic>
      <xdr:nvPicPr>
        <xdr:cNvPr id="148" name="Picture 148">
          <a:hlinkClick r:id="rId2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149" name="Picture 149">
          <a:hlinkClick r:id="rId2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150" name="Picture 150">
          <a:hlinkClick r:id="rId2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85725</xdr:colOff>
      <xdr:row>16</xdr:row>
      <xdr:rowOff>114300</xdr:rowOff>
    </xdr:to>
    <xdr:pic>
      <xdr:nvPicPr>
        <xdr:cNvPr id="151" name="Picture 151">
          <a:hlinkClick r:id="rId2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85725</xdr:colOff>
      <xdr:row>16</xdr:row>
      <xdr:rowOff>114300</xdr:rowOff>
    </xdr:to>
    <xdr:pic>
      <xdr:nvPicPr>
        <xdr:cNvPr id="152" name="Picture 152">
          <a:hlinkClick r:id="rId2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153" name="Picture 153">
          <a:hlinkClick r:id="rId2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154" name="Picture 154">
          <a:hlinkClick r:id="rId2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155" name="Picture 155">
          <a:hlinkClick r:id="rId2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16</xdr:row>
      <xdr:rowOff>114300</xdr:rowOff>
    </xdr:to>
    <xdr:pic>
      <xdr:nvPicPr>
        <xdr:cNvPr id="156" name="Picture 156">
          <a:hlinkClick r:id="rId2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16</xdr:row>
      <xdr:rowOff>114300</xdr:rowOff>
    </xdr:to>
    <xdr:pic>
      <xdr:nvPicPr>
        <xdr:cNvPr id="157" name="Picture 157">
          <a:hlinkClick r:id="rId2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16</xdr:row>
      <xdr:rowOff>114300</xdr:rowOff>
    </xdr:to>
    <xdr:pic>
      <xdr:nvPicPr>
        <xdr:cNvPr id="158" name="Picture 158">
          <a:hlinkClick r:id="rId2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16</xdr:row>
      <xdr:rowOff>114300</xdr:rowOff>
    </xdr:to>
    <xdr:pic>
      <xdr:nvPicPr>
        <xdr:cNvPr id="159" name="Picture 159">
          <a:hlinkClick r:id="rId2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16</xdr:row>
      <xdr:rowOff>114300</xdr:rowOff>
    </xdr:to>
    <xdr:pic>
      <xdr:nvPicPr>
        <xdr:cNvPr id="160" name="Picture 160">
          <a:hlinkClick r:id="rId2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16</xdr:row>
      <xdr:rowOff>114300</xdr:rowOff>
    </xdr:to>
    <xdr:pic>
      <xdr:nvPicPr>
        <xdr:cNvPr id="161" name="Picture 161">
          <a:hlinkClick r:id="rId2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18</xdr:row>
      <xdr:rowOff>76200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115175" y="232410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219075</xdr:colOff>
      <xdr:row>16</xdr:row>
      <xdr:rowOff>152400</xdr:rowOff>
    </xdr:to>
    <xdr:pic>
      <xdr:nvPicPr>
        <xdr:cNvPr id="163" name="Picture 164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1628775" y="23241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16</xdr:row>
      <xdr:rowOff>0</xdr:rowOff>
    </xdr:from>
    <xdr:to>
      <xdr:col>3</xdr:col>
      <xdr:colOff>9525</xdr:colOff>
      <xdr:row>16</xdr:row>
      <xdr:rowOff>152400</xdr:rowOff>
    </xdr:to>
    <xdr:pic>
      <xdr:nvPicPr>
        <xdr:cNvPr id="164" name="Picture 165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1857375" y="23241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16</xdr:row>
      <xdr:rowOff>0</xdr:rowOff>
    </xdr:from>
    <xdr:to>
      <xdr:col>3</xdr:col>
      <xdr:colOff>238125</xdr:colOff>
      <xdr:row>16</xdr:row>
      <xdr:rowOff>152400</xdr:rowOff>
    </xdr:to>
    <xdr:pic>
      <xdr:nvPicPr>
        <xdr:cNvPr id="165" name="Picture 166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2085975" y="23241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16</xdr:row>
      <xdr:rowOff>0</xdr:rowOff>
    </xdr:from>
    <xdr:to>
      <xdr:col>4</xdr:col>
      <xdr:colOff>28575</xdr:colOff>
      <xdr:row>16</xdr:row>
      <xdr:rowOff>152400</xdr:rowOff>
    </xdr:to>
    <xdr:pic>
      <xdr:nvPicPr>
        <xdr:cNvPr id="166" name="Picture 167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2314575" y="23241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85725</xdr:colOff>
      <xdr:row>16</xdr:row>
      <xdr:rowOff>114300</xdr:rowOff>
    </xdr:to>
    <xdr:pic>
      <xdr:nvPicPr>
        <xdr:cNvPr id="167" name="Picture 168">
          <a:hlinkClick r:id="rId26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85725</xdr:colOff>
      <xdr:row>16</xdr:row>
      <xdr:rowOff>114300</xdr:rowOff>
    </xdr:to>
    <xdr:pic>
      <xdr:nvPicPr>
        <xdr:cNvPr id="168" name="Picture 169">
          <a:hlinkClick r:id="rId26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169" name="Picture 170">
          <a:hlinkClick r:id="rId26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170" name="Picture 171">
          <a:hlinkClick r:id="rId27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171" name="Picture 172">
          <a:hlinkClick r:id="rId27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114300</xdr:rowOff>
    </xdr:to>
    <xdr:pic>
      <xdr:nvPicPr>
        <xdr:cNvPr id="172" name="Picture 173">
          <a:hlinkClick r:id="rId27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16</xdr:row>
      <xdr:rowOff>114300</xdr:rowOff>
    </xdr:to>
    <xdr:pic>
      <xdr:nvPicPr>
        <xdr:cNvPr id="173" name="Picture 174">
          <a:hlinkClick r:id="rId27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114300</xdr:rowOff>
    </xdr:to>
    <xdr:pic>
      <xdr:nvPicPr>
        <xdr:cNvPr id="174" name="Picture 175">
          <a:hlinkClick r:id="rId27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175" name="Picture 176">
          <a:hlinkClick r:id="rId28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176" name="Picture 177">
          <a:hlinkClick r:id="rId28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114300</xdr:rowOff>
    </xdr:to>
    <xdr:pic>
      <xdr:nvPicPr>
        <xdr:cNvPr id="177" name="Picture 178">
          <a:hlinkClick r:id="rId28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16</xdr:row>
      <xdr:rowOff>114300</xdr:rowOff>
    </xdr:to>
    <xdr:pic>
      <xdr:nvPicPr>
        <xdr:cNvPr id="178" name="Picture 179">
          <a:hlinkClick r:id="rId28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85725</xdr:colOff>
      <xdr:row>16</xdr:row>
      <xdr:rowOff>114300</xdr:rowOff>
    </xdr:to>
    <xdr:pic>
      <xdr:nvPicPr>
        <xdr:cNvPr id="179" name="Picture 180">
          <a:hlinkClick r:id="rId28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180" name="Picture 181">
          <a:hlinkClick r:id="rId29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114300</xdr:rowOff>
    </xdr:to>
    <xdr:pic>
      <xdr:nvPicPr>
        <xdr:cNvPr id="181" name="Picture 182">
          <a:hlinkClick r:id="rId29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114300</xdr:rowOff>
    </xdr:to>
    <xdr:pic>
      <xdr:nvPicPr>
        <xdr:cNvPr id="182" name="Picture 183">
          <a:hlinkClick r:id="rId29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114300</xdr:rowOff>
    </xdr:to>
    <xdr:pic>
      <xdr:nvPicPr>
        <xdr:cNvPr id="183" name="Picture 184">
          <a:hlinkClick r:id="rId29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16</xdr:row>
      <xdr:rowOff>114300</xdr:rowOff>
    </xdr:to>
    <xdr:pic>
      <xdr:nvPicPr>
        <xdr:cNvPr id="184" name="Picture 185">
          <a:hlinkClick r:id="rId29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114300</xdr:rowOff>
    </xdr:to>
    <xdr:pic>
      <xdr:nvPicPr>
        <xdr:cNvPr id="185" name="Picture 186">
          <a:hlinkClick r:id="rId30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114300</xdr:rowOff>
    </xdr:to>
    <xdr:pic>
      <xdr:nvPicPr>
        <xdr:cNvPr id="186" name="Picture 187">
          <a:hlinkClick r:id="rId30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3241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15</xdr:col>
      <xdr:colOff>95250</xdr:colOff>
      <xdr:row>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0</xdr:row>
      <xdr:rowOff>114300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114300</xdr:rowOff>
    </xdr:to>
    <xdr:pic>
      <xdr:nvPicPr>
        <xdr:cNvPr id="3" name="Picture 5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85725</xdr:colOff>
      <xdr:row>0</xdr:row>
      <xdr:rowOff>114300</xdr:rowOff>
    </xdr:to>
    <xdr:pic>
      <xdr:nvPicPr>
        <xdr:cNvPr id="4" name="Picture 6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0</xdr:row>
      <xdr:rowOff>114300</xdr:rowOff>
    </xdr:to>
    <xdr:pic>
      <xdr:nvPicPr>
        <xdr:cNvPr id="5" name="Picture 7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0</xdr:row>
      <xdr:rowOff>114300</xdr:rowOff>
    </xdr:to>
    <xdr:pic>
      <xdr:nvPicPr>
        <xdr:cNvPr id="6" name="Picture 10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114300</xdr:rowOff>
    </xdr:to>
    <xdr:pic>
      <xdr:nvPicPr>
        <xdr:cNvPr id="7" name="Picture 11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114300</xdr:rowOff>
    </xdr:to>
    <xdr:pic>
      <xdr:nvPicPr>
        <xdr:cNvPr id="8" name="Picture 12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85725</xdr:colOff>
      <xdr:row>0</xdr:row>
      <xdr:rowOff>114300</xdr:rowOff>
    </xdr:to>
    <xdr:pic>
      <xdr:nvPicPr>
        <xdr:cNvPr id="9" name="Picture 1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0</xdr:row>
      <xdr:rowOff>114300</xdr:rowOff>
    </xdr:to>
    <xdr:pic>
      <xdr:nvPicPr>
        <xdr:cNvPr id="10" name="Picture 14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114300</xdr:rowOff>
    </xdr:to>
    <xdr:pic>
      <xdr:nvPicPr>
        <xdr:cNvPr id="11" name="Picture 15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114300</xdr:rowOff>
    </xdr:to>
    <xdr:pic>
      <xdr:nvPicPr>
        <xdr:cNvPr id="12" name="Picture 16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85725</xdr:colOff>
      <xdr:row>0</xdr:row>
      <xdr:rowOff>114300</xdr:rowOff>
    </xdr:to>
    <xdr:pic>
      <xdr:nvPicPr>
        <xdr:cNvPr id="13" name="Picture 17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0</xdr:row>
      <xdr:rowOff>114300</xdr:rowOff>
    </xdr:to>
    <xdr:pic>
      <xdr:nvPicPr>
        <xdr:cNvPr id="14" name="Picture 18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114300</xdr:rowOff>
    </xdr:to>
    <xdr:pic>
      <xdr:nvPicPr>
        <xdr:cNvPr id="15" name="Picture 19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114300</xdr:rowOff>
    </xdr:to>
    <xdr:pic>
      <xdr:nvPicPr>
        <xdr:cNvPr id="16" name="Picture 20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85725</xdr:colOff>
      <xdr:row>0</xdr:row>
      <xdr:rowOff>114300</xdr:rowOff>
    </xdr:to>
    <xdr:pic>
      <xdr:nvPicPr>
        <xdr:cNvPr id="17" name="Picture 21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0</xdr:row>
      <xdr:rowOff>114300</xdr:rowOff>
    </xdr:to>
    <xdr:pic>
      <xdr:nvPicPr>
        <xdr:cNvPr id="18" name="Picture 22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114300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114300</xdr:rowOff>
    </xdr:to>
    <xdr:pic>
      <xdr:nvPicPr>
        <xdr:cNvPr id="20" name="Picture 24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85725</xdr:colOff>
      <xdr:row>0</xdr:row>
      <xdr:rowOff>114300</xdr:rowOff>
    </xdr:to>
    <xdr:pic>
      <xdr:nvPicPr>
        <xdr:cNvPr id="21" name="Picture 25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0</xdr:row>
      <xdr:rowOff>114300</xdr:rowOff>
    </xdr:to>
    <xdr:pic>
      <xdr:nvPicPr>
        <xdr:cNvPr id="22" name="Picture 26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114300</xdr:rowOff>
    </xdr:to>
    <xdr:pic>
      <xdr:nvPicPr>
        <xdr:cNvPr id="23" name="Picture 27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114300</xdr:rowOff>
    </xdr:to>
    <xdr:pic>
      <xdr:nvPicPr>
        <xdr:cNvPr id="24" name="Picture 28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85725</xdr:colOff>
      <xdr:row>0</xdr:row>
      <xdr:rowOff>114300</xdr:rowOff>
    </xdr:to>
    <xdr:pic>
      <xdr:nvPicPr>
        <xdr:cNvPr id="25" name="Picture 29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0</xdr:row>
      <xdr:rowOff>114300</xdr:rowOff>
    </xdr:to>
    <xdr:pic>
      <xdr:nvPicPr>
        <xdr:cNvPr id="26" name="Picture 30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114300</xdr:rowOff>
    </xdr:to>
    <xdr:pic>
      <xdr:nvPicPr>
        <xdr:cNvPr id="27" name="Picture 31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114300</xdr:rowOff>
    </xdr:to>
    <xdr:pic>
      <xdr:nvPicPr>
        <xdr:cNvPr id="28" name="Picture 32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85725</xdr:colOff>
      <xdr:row>0</xdr:row>
      <xdr:rowOff>114300</xdr:rowOff>
    </xdr:to>
    <xdr:pic>
      <xdr:nvPicPr>
        <xdr:cNvPr id="29" name="Picture 3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114300</xdr:rowOff>
    </xdr:to>
    <xdr:pic>
      <xdr:nvPicPr>
        <xdr:cNvPr id="30" name="Picture 34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67200" y="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67200" y="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67200" y="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67200" y="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67200" y="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67200" y="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67200" y="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67200" y="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67200" y="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67200" y="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67200" y="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67200" y="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67200" y="0"/>
          <a:ext cx="428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457200</xdr:colOff>
      <xdr:row>1</xdr:row>
      <xdr:rowOff>9525</xdr:rowOff>
    </xdr:to>
    <xdr:pic>
      <xdr:nvPicPr>
        <xdr:cNvPr id="44" name="Picture 48" descr="top">
          <a:hlinkClick r:id="rId64"/>
        </xdr:cNvPr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09600" y="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</xdr:colOff>
      <xdr:row>3</xdr:row>
      <xdr:rowOff>47625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315200" y="0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0</xdr:row>
      <xdr:rowOff>114300</xdr:rowOff>
    </xdr:to>
    <xdr:pic>
      <xdr:nvPicPr>
        <xdr:cNvPr id="46" name="Picture 50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114300</xdr:rowOff>
    </xdr:to>
    <xdr:pic>
      <xdr:nvPicPr>
        <xdr:cNvPr id="47" name="Picture 51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114300</xdr:rowOff>
    </xdr:to>
    <xdr:pic>
      <xdr:nvPicPr>
        <xdr:cNvPr id="48" name="Picture 52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85725</xdr:colOff>
      <xdr:row>0</xdr:row>
      <xdr:rowOff>114300</xdr:rowOff>
    </xdr:to>
    <xdr:pic>
      <xdr:nvPicPr>
        <xdr:cNvPr id="49" name="Picture 5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3</xdr:row>
      <xdr:rowOff>47625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705600" y="0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19</xdr:col>
      <xdr:colOff>85725</xdr:colOff>
      <xdr:row>0</xdr:row>
      <xdr:rowOff>114300</xdr:rowOff>
    </xdr:to>
    <xdr:pic>
      <xdr:nvPicPr>
        <xdr:cNvPr id="51" name="Picture 55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824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85725</xdr:colOff>
      <xdr:row>0</xdr:row>
      <xdr:rowOff>114300</xdr:rowOff>
    </xdr:to>
    <xdr:pic>
      <xdr:nvPicPr>
        <xdr:cNvPr id="52" name="Picture 56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85725</xdr:colOff>
      <xdr:row>0</xdr:row>
      <xdr:rowOff>114300</xdr:rowOff>
    </xdr:to>
    <xdr:pic>
      <xdr:nvPicPr>
        <xdr:cNvPr id="53" name="Picture 57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85725</xdr:colOff>
      <xdr:row>0</xdr:row>
      <xdr:rowOff>114300</xdr:rowOff>
    </xdr:to>
    <xdr:pic>
      <xdr:nvPicPr>
        <xdr:cNvPr id="54" name="Picture 58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114300</xdr:rowOff>
    </xdr:to>
    <xdr:pic>
      <xdr:nvPicPr>
        <xdr:cNvPr id="55" name="Picture 59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114300</xdr:rowOff>
    </xdr:to>
    <xdr:pic>
      <xdr:nvPicPr>
        <xdr:cNvPr id="56" name="Picture 60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114300</xdr:rowOff>
    </xdr:to>
    <xdr:pic>
      <xdr:nvPicPr>
        <xdr:cNvPr id="57" name="Picture 61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114300</xdr:rowOff>
    </xdr:to>
    <xdr:pic>
      <xdr:nvPicPr>
        <xdr:cNvPr id="58" name="Picture 62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114300</xdr:rowOff>
    </xdr:to>
    <xdr:pic>
      <xdr:nvPicPr>
        <xdr:cNvPr id="59" name="Picture 6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114300</xdr:rowOff>
    </xdr:to>
    <xdr:pic>
      <xdr:nvPicPr>
        <xdr:cNvPr id="60" name="Picture 64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114300</xdr:rowOff>
    </xdr:to>
    <xdr:pic>
      <xdr:nvPicPr>
        <xdr:cNvPr id="61" name="Picture 65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114300</xdr:rowOff>
    </xdr:to>
    <xdr:pic>
      <xdr:nvPicPr>
        <xdr:cNvPr id="62" name="Picture 66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8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www.gaports.com/" TargetMode="Externa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www.vaports.com/PORT-stats-generalstats.asp" TargetMode="External" /><Relationship Id="rId2" Type="http://schemas.openxmlformats.org/officeDocument/2006/relationships/printerSettings" Target="../printerSettings/printerSettings3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1.421875" style="632" bestFit="1" customWidth="1"/>
    <col min="2" max="2" width="11.421875" style="632" bestFit="1" customWidth="1"/>
    <col min="3" max="4" width="7.7109375" style="632" customWidth="1"/>
    <col min="5" max="5" width="7.00390625" style="632" customWidth="1"/>
    <col min="6" max="7" width="9.00390625" style="632" customWidth="1"/>
    <col min="8" max="8" width="7.00390625" style="632" customWidth="1"/>
    <col min="9" max="9" width="11.7109375" style="793" customWidth="1"/>
    <col min="10" max="10" width="13.140625" style="632" customWidth="1"/>
    <col min="11" max="16384" width="9.140625" style="632" customWidth="1"/>
  </cols>
  <sheetData>
    <row r="1" spans="1:10" ht="11.25">
      <c r="A1" s="1910" t="s">
        <v>104</v>
      </c>
      <c r="B1" s="1911"/>
      <c r="C1" s="1911"/>
      <c r="D1" s="1911"/>
      <c r="E1" s="1911"/>
      <c r="F1" s="1911"/>
      <c r="G1" s="1911"/>
      <c r="H1" s="1911"/>
      <c r="I1" s="1911"/>
      <c r="J1" s="1912"/>
    </row>
    <row r="2" spans="1:10" ht="12" thickBot="1">
      <c r="A2" s="1913" t="s">
        <v>35</v>
      </c>
      <c r="B2" s="1914"/>
      <c r="C2" s="1914"/>
      <c r="D2" s="1914"/>
      <c r="E2" s="1914"/>
      <c r="F2" s="1914"/>
      <c r="G2" s="1914"/>
      <c r="H2" s="1914"/>
      <c r="I2" s="1914"/>
      <c r="J2" s="1915"/>
    </row>
    <row r="3" spans="1:10" ht="12" thickBot="1">
      <c r="A3" s="1922" t="s">
        <v>105</v>
      </c>
      <c r="B3" s="1924" t="s">
        <v>139</v>
      </c>
      <c r="C3" s="1916" t="s">
        <v>19</v>
      </c>
      <c r="D3" s="1917"/>
      <c r="E3" s="1918"/>
      <c r="F3" s="1919" t="s">
        <v>231</v>
      </c>
      <c r="G3" s="1920"/>
      <c r="H3" s="1921"/>
      <c r="I3" s="1897" t="s">
        <v>186</v>
      </c>
      <c r="J3" s="1899" t="s">
        <v>200</v>
      </c>
    </row>
    <row r="4" spans="1:10" ht="12" thickBot="1">
      <c r="A4" s="1923"/>
      <c r="B4" s="1925"/>
      <c r="C4" s="1235">
        <v>2008</v>
      </c>
      <c r="D4" s="1236">
        <v>2007</v>
      </c>
      <c r="E4" s="1237" t="s">
        <v>44</v>
      </c>
      <c r="F4" s="1811">
        <v>2008</v>
      </c>
      <c r="G4" s="1322">
        <v>2007</v>
      </c>
      <c r="H4" s="1238" t="s">
        <v>44</v>
      </c>
      <c r="I4" s="1898"/>
      <c r="J4" s="1900"/>
    </row>
    <row r="5" spans="1:10" ht="11.25">
      <c r="A5" s="798" t="s">
        <v>160</v>
      </c>
      <c r="B5" s="1408" t="s">
        <v>142</v>
      </c>
      <c r="C5" s="1433">
        <f>SUM(ALTAMIRA!AB10)</f>
        <v>37370</v>
      </c>
      <c r="D5" s="1210">
        <f>SUM(ALTAMIRA!AC10)</f>
        <v>36181</v>
      </c>
      <c r="E5" s="1818">
        <f>SUM(C5-D5)/D5</f>
        <v>0.03286255216826511</v>
      </c>
      <c r="F5" s="1812">
        <f>SUM(ALTAMIRA!AB4:AB10)</f>
        <v>257925</v>
      </c>
      <c r="G5" s="1580">
        <f>SUM(ALTAMIRA!AC4:AC10)</f>
        <v>234834</v>
      </c>
      <c r="H5" s="1581">
        <f>SUM(F5-G5)/G5</f>
        <v>0.09832903242290299</v>
      </c>
      <c r="I5" s="1569">
        <v>407625</v>
      </c>
      <c r="J5" s="1519">
        <f aca="true" t="shared" si="0" ref="J5:J39">SUM(I5)+(H5*I5)</f>
        <v>447706.37184138584</v>
      </c>
    </row>
    <row r="6" spans="1:10" ht="11.25">
      <c r="A6" s="799" t="s">
        <v>120</v>
      </c>
      <c r="B6" s="1409" t="s">
        <v>147</v>
      </c>
      <c r="C6" s="1434">
        <f>SUM(BOSTON!AH10)</f>
        <v>22338</v>
      </c>
      <c r="D6" s="1071">
        <f>SUM(BOSTON!AI10)</f>
        <v>20111</v>
      </c>
      <c r="E6" s="1819">
        <f aca="true" t="shared" si="1" ref="E6:E37">SUM(C6-D6)/D6</f>
        <v>0.11073541842772612</v>
      </c>
      <c r="F6" s="1813">
        <f>SUM(BOSTON!AH4:AH10)</f>
        <v>122036</v>
      </c>
      <c r="G6" s="1578">
        <f>SUM(BOSTON!AI4:AI10)</f>
        <v>121302</v>
      </c>
      <c r="H6" s="1582">
        <f aca="true" t="shared" si="2" ref="H6:H37">SUM(F6-G6)/G6</f>
        <v>0.0060510131737316775</v>
      </c>
      <c r="I6" s="1570">
        <v>220139</v>
      </c>
      <c r="J6" s="1323">
        <f t="shared" si="0"/>
        <v>221471.0639890521</v>
      </c>
    </row>
    <row r="7" spans="1:10" ht="11.25">
      <c r="A7" s="910" t="s">
        <v>175</v>
      </c>
      <c r="B7" s="1409" t="s">
        <v>176</v>
      </c>
      <c r="C7" s="1434">
        <f>SUM(BUENAVENTURA!AH10)</f>
        <v>62420</v>
      </c>
      <c r="D7" s="1071">
        <f>SUM(BUENAVENTURA!AI10)</f>
        <v>57890</v>
      </c>
      <c r="E7" s="1819">
        <f t="shared" si="1"/>
        <v>0.07825185697011573</v>
      </c>
      <c r="F7" s="1813">
        <f>SUM(BUENAVENTURA!AH4:AH9)</f>
        <v>323915</v>
      </c>
      <c r="G7" s="1578">
        <f>SUM(BUENAVENTURA!AI4:AI9)</f>
        <v>354327</v>
      </c>
      <c r="H7" s="1582">
        <f t="shared" si="2"/>
        <v>-0.08583032057957762</v>
      </c>
      <c r="I7" s="1571">
        <f>SUM(BUENAVENTURA!AI4:AI15)</f>
        <v>727331</v>
      </c>
      <c r="J7" s="1323">
        <f t="shared" si="0"/>
        <v>664903.9471025353</v>
      </c>
    </row>
    <row r="8" spans="1:10" ht="11.25">
      <c r="A8" s="910" t="s">
        <v>239</v>
      </c>
      <c r="B8" s="1409" t="s">
        <v>240</v>
      </c>
      <c r="C8" s="1434">
        <f>SUM('BUENOS AIRES'!O7)</f>
        <v>107600</v>
      </c>
      <c r="D8" s="1434">
        <f>SUM('BUENOS AIRES'!P7)</f>
        <v>99500</v>
      </c>
      <c r="E8" s="1819">
        <f t="shared" si="1"/>
        <v>0.0814070351758794</v>
      </c>
      <c r="F8" s="1813">
        <f>SUM('BUENOS AIRES'!O3:O7)</f>
        <v>487800</v>
      </c>
      <c r="G8" s="1813">
        <f>SUM('BUENOS AIRES'!P3:P7)</f>
        <v>436000</v>
      </c>
      <c r="H8" s="1582">
        <f t="shared" si="2"/>
        <v>0.11880733944954129</v>
      </c>
      <c r="I8" s="1571">
        <f>SUM('BUENOS AIRES'!P3:P14)</f>
        <v>1143800</v>
      </c>
      <c r="J8" s="1323">
        <f t="shared" si="0"/>
        <v>1279691.8348623854</v>
      </c>
    </row>
    <row r="9" spans="1:10" ht="11.25">
      <c r="A9" s="562" t="s">
        <v>222</v>
      </c>
      <c r="B9" s="1409" t="s">
        <v>147</v>
      </c>
      <c r="C9" s="1435">
        <f>SUM(CHARLESTON!AI10)</f>
        <v>138190.75</v>
      </c>
      <c r="D9" s="1436">
        <f>SUM(CHARLESTON!AJ10)</f>
        <v>137748</v>
      </c>
      <c r="E9" s="1819">
        <f t="shared" si="1"/>
        <v>0.003214202747045329</v>
      </c>
      <c r="F9" s="1814">
        <f>SUM(CHARLESTON!AI4:AI10)</f>
        <v>982737.5</v>
      </c>
      <c r="G9" s="1579">
        <f>SUM(CHARLESTON!AJ4:AJ10)</f>
        <v>1042167</v>
      </c>
      <c r="H9" s="1582">
        <f t="shared" si="2"/>
        <v>-0.05702492978572532</v>
      </c>
      <c r="I9" s="1572">
        <v>1754376</v>
      </c>
      <c r="J9" s="1323">
        <f t="shared" si="0"/>
        <v>1654332.8317822383</v>
      </c>
    </row>
    <row r="10" spans="1:10" ht="11.25">
      <c r="A10" s="562" t="s">
        <v>158</v>
      </c>
      <c r="B10" s="1409" t="s">
        <v>142</v>
      </c>
      <c r="C10" s="1435">
        <f>SUM(ENSENADA!AB10)</f>
        <v>10534</v>
      </c>
      <c r="D10" s="1436">
        <f>SUM(ENSENADA!AC10)</f>
        <v>9745</v>
      </c>
      <c r="E10" s="1819">
        <f t="shared" si="1"/>
        <v>0.08096459722934839</v>
      </c>
      <c r="F10" s="1814">
        <f>SUM(ENSENADA!AB4:AB10)</f>
        <v>72155</v>
      </c>
      <c r="G10" s="1579">
        <f>SUM(ENSENADA!AC4:AC10)</f>
        <v>63833</v>
      </c>
      <c r="H10" s="1582">
        <f t="shared" si="2"/>
        <v>0.13037143797095546</v>
      </c>
      <c r="I10" s="1573">
        <v>120324</v>
      </c>
      <c r="J10" s="1323">
        <f t="shared" si="0"/>
        <v>136010.81290241724</v>
      </c>
    </row>
    <row r="11" spans="1:10" ht="11.25">
      <c r="A11" s="562" t="s">
        <v>215</v>
      </c>
      <c r="B11" s="1409" t="s">
        <v>177</v>
      </c>
      <c r="C11" s="1435">
        <f>SUM(GUANTA!W10)</f>
        <v>2061</v>
      </c>
      <c r="D11" s="1436">
        <f>SUM(GUANTA!X10)</f>
        <v>3515</v>
      </c>
      <c r="E11" s="1819">
        <f t="shared" si="1"/>
        <v>-0.41365576102418206</v>
      </c>
      <c r="F11" s="1814">
        <f>SUM(GUANTA!W4:W10)</f>
        <v>20479</v>
      </c>
      <c r="G11" s="1579">
        <f>SUM(GUANTA!X4:X10)</f>
        <v>23050</v>
      </c>
      <c r="H11" s="1582">
        <f t="shared" si="2"/>
        <v>-0.11154013015184382</v>
      </c>
      <c r="I11" s="1574">
        <v>40489</v>
      </c>
      <c r="J11" s="1323">
        <f t="shared" si="0"/>
        <v>35972.851670282</v>
      </c>
    </row>
    <row r="12" spans="1:10" ht="11.25">
      <c r="A12" s="562" t="s">
        <v>236</v>
      </c>
      <c r="B12" s="1409" t="s">
        <v>140</v>
      </c>
      <c r="C12" s="1649" t="s">
        <v>220</v>
      </c>
      <c r="D12" s="1650" t="s">
        <v>220</v>
      </c>
      <c r="E12" s="1819"/>
      <c r="F12" s="1815">
        <v>203910</v>
      </c>
      <c r="G12" s="1239">
        <v>203910</v>
      </c>
      <c r="H12" s="1582">
        <f t="shared" si="2"/>
        <v>0</v>
      </c>
      <c r="I12" s="1575">
        <v>490071</v>
      </c>
      <c r="J12" s="1323">
        <f t="shared" si="0"/>
        <v>490071</v>
      </c>
    </row>
    <row r="13" spans="1:10" ht="11.25">
      <c r="A13" s="562" t="s">
        <v>221</v>
      </c>
      <c r="B13" s="1409" t="s">
        <v>147</v>
      </c>
      <c r="C13" s="1437">
        <f>SUM('HAMPTON ROADS'!E11)</f>
        <v>172973</v>
      </c>
      <c r="D13" s="1438">
        <f>SUM('HAMPTON ROADS'!F11)</f>
        <v>173476</v>
      </c>
      <c r="E13" s="1819">
        <f t="shared" si="1"/>
        <v>-0.0028995365353132424</v>
      </c>
      <c r="F13" s="1814">
        <f>SUM('HAMPTON ROADS'!E5:E11)</f>
        <v>1208948</v>
      </c>
      <c r="G13" s="1579">
        <f>SUM('HAMPTON ROADS'!F5:F11)</f>
        <v>1193456</v>
      </c>
      <c r="H13" s="1582">
        <f t="shared" si="2"/>
        <v>0.012980788566985294</v>
      </c>
      <c r="I13" s="1573">
        <v>2128366</v>
      </c>
      <c r="J13" s="1323">
        <f t="shared" si="0"/>
        <v>2155993.86903916</v>
      </c>
    </row>
    <row r="14" spans="1:10" ht="11.25">
      <c r="A14" s="562" t="s">
        <v>235</v>
      </c>
      <c r="B14" s="1409" t="s">
        <v>147</v>
      </c>
      <c r="C14" s="1437">
        <f>SUM(HONOLULU!W9)</f>
        <v>74773</v>
      </c>
      <c r="D14" s="1438">
        <f>SUM(HONOLULU!X9)</f>
        <v>76840</v>
      </c>
      <c r="E14" s="1819">
        <f t="shared" si="1"/>
        <v>-0.02690005205622072</v>
      </c>
      <c r="F14" s="1814">
        <f>SUM(HONOLULU!W4:W9)</f>
        <v>533359</v>
      </c>
      <c r="G14" s="1579">
        <f>SUM(HONOLULU!X4:X9)</f>
        <v>527160</v>
      </c>
      <c r="H14" s="1582">
        <f t="shared" si="2"/>
        <v>0.011759238181956143</v>
      </c>
      <c r="I14" s="1575">
        <f>SUM(HONOLULU!X4:X15)</f>
        <v>1136231</v>
      </c>
      <c r="J14" s="1323">
        <f t="shared" si="0"/>
        <v>1149592.2109587223</v>
      </c>
    </row>
    <row r="15" spans="1:10" ht="11.25">
      <c r="A15" s="562" t="s">
        <v>151</v>
      </c>
      <c r="B15" s="1409" t="s">
        <v>147</v>
      </c>
      <c r="C15" s="1435">
        <f>SUM(HOUSTON!AH10)</f>
        <v>171467</v>
      </c>
      <c r="D15" s="1436">
        <f>SUM(HOUSTON!AI10)</f>
        <v>147882</v>
      </c>
      <c r="E15" s="1819">
        <f t="shared" si="1"/>
        <v>0.15948526527907386</v>
      </c>
      <c r="F15" s="1816">
        <f>SUM(HOUSTON!AH4:AH10)</f>
        <v>1096807</v>
      </c>
      <c r="G15" s="1240">
        <f>SUM(HOUSTON!AI4:AI10)</f>
        <v>968257</v>
      </c>
      <c r="H15" s="1582">
        <f t="shared" si="2"/>
        <v>0.13276433839362897</v>
      </c>
      <c r="I15" s="1576">
        <v>1768627</v>
      </c>
      <c r="J15" s="1323">
        <f t="shared" si="0"/>
        <v>2003437.5935201088</v>
      </c>
    </row>
    <row r="16" spans="1:10" ht="11.25">
      <c r="A16" s="562" t="s">
        <v>241</v>
      </c>
      <c r="B16" s="1409" t="s">
        <v>141</v>
      </c>
      <c r="C16" s="1435">
        <f>SUM(ITAJAI!W10)</f>
        <v>65809</v>
      </c>
      <c r="D16" s="1436">
        <f>SUM(ITAJAI!X10)</f>
        <v>56768</v>
      </c>
      <c r="E16" s="1819">
        <f t="shared" si="1"/>
        <v>0.15926226042841038</v>
      </c>
      <c r="F16" s="1816">
        <f>SUM(ITAJAI!W4:W10)</f>
        <v>417438</v>
      </c>
      <c r="G16" s="1240">
        <f>SUM(ITAJAI!X4:X10)</f>
        <v>392689</v>
      </c>
      <c r="H16" s="1582">
        <f t="shared" si="2"/>
        <v>0.063024429001067</v>
      </c>
      <c r="I16" s="1576">
        <f>SUM(ITAJAI!X4:X15)</f>
        <v>681852</v>
      </c>
      <c r="J16" s="1323">
        <f t="shared" si="0"/>
        <v>724825.3329632356</v>
      </c>
    </row>
    <row r="17" spans="1:10" ht="11.25">
      <c r="A17" s="562" t="s">
        <v>194</v>
      </c>
      <c r="B17" s="1409" t="s">
        <v>147</v>
      </c>
      <c r="C17" s="1439">
        <f>SUM(JACKSONVILLE!AI10)</f>
        <v>59778.049999999996</v>
      </c>
      <c r="D17" s="1440">
        <f>SUM(JACKSONVILLE!AJ10)</f>
        <v>55998</v>
      </c>
      <c r="E17" s="1819">
        <f t="shared" si="1"/>
        <v>0.0675033036894174</v>
      </c>
      <c r="F17" s="1814">
        <f>SUM(JACKSONVILLE!AI4:AI10)</f>
        <v>405080.95</v>
      </c>
      <c r="G17" s="1579">
        <f>SUM(JACKSONVILLE!AJ4:AJ10)</f>
        <v>395998.25</v>
      </c>
      <c r="H17" s="1582">
        <f t="shared" si="2"/>
        <v>0.022936212470635948</v>
      </c>
      <c r="I17" s="1571">
        <f>SUM(JACKSONVILLE!AJ4:AJ15)</f>
        <v>683414.25</v>
      </c>
      <c r="J17" s="1323">
        <f t="shared" si="0"/>
        <v>699089.1844434603</v>
      </c>
    </row>
    <row r="18" spans="1:10" ht="11.25">
      <c r="A18" s="1770" t="s">
        <v>229</v>
      </c>
      <c r="B18" s="1409" t="s">
        <v>142</v>
      </c>
      <c r="C18" s="1435">
        <f>SUM('LAZARO CARDENAS'!AB10)</f>
        <v>37943</v>
      </c>
      <c r="D18" s="1436">
        <f>SUM('LAZARO CARDENAS'!AC10)</f>
        <v>22616</v>
      </c>
      <c r="E18" s="1819">
        <f t="shared" si="1"/>
        <v>0.6777060488149982</v>
      </c>
      <c r="F18" s="1814">
        <f>SUM('LAZARO CARDENAS'!AB4:AB10)</f>
        <v>197149</v>
      </c>
      <c r="G18" s="1579">
        <f>SUM('LAZARO CARDENAS'!AC4:AC10)</f>
        <v>139254</v>
      </c>
      <c r="H18" s="1582">
        <f t="shared" si="2"/>
        <v>0.41575107357777874</v>
      </c>
      <c r="I18" s="1573">
        <v>269928</v>
      </c>
      <c r="J18" s="1323">
        <f t="shared" si="0"/>
        <v>382150.85578870267</v>
      </c>
    </row>
    <row r="19" spans="1:10" ht="11.25">
      <c r="A19" s="562" t="s">
        <v>106</v>
      </c>
      <c r="B19" s="1409" t="s">
        <v>147</v>
      </c>
      <c r="C19" s="1435">
        <f>SUM('LONG BEACH'!BU10)</f>
        <v>563703</v>
      </c>
      <c r="D19" s="1436">
        <f>SUM('LONG BEACH'!BV10)</f>
        <v>647428</v>
      </c>
      <c r="E19" s="1819">
        <f t="shared" si="1"/>
        <v>-0.12931939922277072</v>
      </c>
      <c r="F19" s="1814">
        <f>SUM('LONG BEACH'!BU4:BU10)</f>
        <v>3778129</v>
      </c>
      <c r="G19" s="1579">
        <f>SUM('LONG BEACH'!BV4:BV10)</f>
        <v>4168918</v>
      </c>
      <c r="H19" s="1582">
        <f t="shared" si="2"/>
        <v>-0.09373871109961865</v>
      </c>
      <c r="I19" s="1570">
        <v>7316465</v>
      </c>
      <c r="J19" s="1323">
        <f t="shared" si="0"/>
        <v>6630629.0010945285</v>
      </c>
    </row>
    <row r="20" spans="1:10" ht="11.25">
      <c r="A20" s="562" t="s">
        <v>107</v>
      </c>
      <c r="B20" s="1409" t="s">
        <v>147</v>
      </c>
      <c r="C20" s="1435">
        <f>SUM('LOS ANGELES'!BY10)</f>
        <v>698159.3</v>
      </c>
      <c r="D20" s="1436">
        <f>SUM('LOS ANGELES'!BZ10)</f>
        <v>716319.4</v>
      </c>
      <c r="E20" s="1819">
        <f t="shared" si="1"/>
        <v>-0.025351958916650836</v>
      </c>
      <c r="F20" s="1814">
        <f>SUM('LOS ANGELES'!BY4:BY10)</f>
        <v>4472638.45</v>
      </c>
      <c r="G20" s="1579">
        <f>SUM('LOS ANGELES'!BZ4:BZ10)</f>
        <v>4764476.100000001</v>
      </c>
      <c r="H20" s="1582">
        <f t="shared" si="2"/>
        <v>-0.06125283113499097</v>
      </c>
      <c r="I20" s="1575">
        <v>8355038.5</v>
      </c>
      <c r="J20" s="1323">
        <f t="shared" si="0"/>
        <v>7843268.737633152</v>
      </c>
    </row>
    <row r="21" spans="1:10" ht="11.25">
      <c r="A21" s="562" t="s">
        <v>155</v>
      </c>
      <c r="B21" s="1409" t="s">
        <v>142</v>
      </c>
      <c r="C21" s="1435">
        <f>SUM(MANZANILLO!AB10)</f>
        <v>128984</v>
      </c>
      <c r="D21" s="1436">
        <f>SUM(MANZANILLO!AC10)</f>
        <v>129945</v>
      </c>
      <c r="E21" s="1819">
        <f t="shared" si="1"/>
        <v>-0.007395436530839971</v>
      </c>
      <c r="F21" s="1814">
        <f>SUM(MANZANILLO!AB4:AB10)</f>
        <v>847551</v>
      </c>
      <c r="G21" s="1579">
        <f>SUM(MANZANILLO!AC4:AC10)</f>
        <v>816926</v>
      </c>
      <c r="H21" s="1582">
        <f t="shared" si="2"/>
        <v>0.037488095616983665</v>
      </c>
      <c r="I21" s="1573">
        <v>1411146</v>
      </c>
      <c r="J21" s="1323">
        <f t="shared" si="0"/>
        <v>1464047.176177524</v>
      </c>
    </row>
    <row r="22" spans="1:10" ht="11.25">
      <c r="A22" s="562" t="s">
        <v>216</v>
      </c>
      <c r="B22" s="1409" t="s">
        <v>140</v>
      </c>
      <c r="C22" s="1435">
        <f>SUM(MONTREAL!S10)</f>
        <v>133417</v>
      </c>
      <c r="D22" s="1436">
        <f>SUM(MONTREAL!T10)</f>
        <v>118933</v>
      </c>
      <c r="E22" s="1819">
        <f t="shared" si="1"/>
        <v>0.12178285253041629</v>
      </c>
      <c r="F22" s="1814">
        <f>SUM(MONTREAL!S4:S10)</f>
        <v>858700</v>
      </c>
      <c r="G22" s="1579">
        <f>SUM(MONTREAL!T4:T10)</f>
        <v>791198</v>
      </c>
      <c r="H22" s="1582">
        <f t="shared" si="2"/>
        <v>0.08531619139583264</v>
      </c>
      <c r="I22" s="1570">
        <v>1363021</v>
      </c>
      <c r="J22" s="1323">
        <f t="shared" si="0"/>
        <v>1479308.7605125392</v>
      </c>
    </row>
    <row r="23" spans="1:10" ht="11.25">
      <c r="A23" s="562" t="s">
        <v>206</v>
      </c>
      <c r="B23" s="1409" t="s">
        <v>207</v>
      </c>
      <c r="C23" s="1435">
        <f>SUM(MONTEVIDEO!C10)</f>
        <v>63202</v>
      </c>
      <c r="D23" s="1436">
        <f>SUM(MONTEVIDEO!D10)</f>
        <v>59774</v>
      </c>
      <c r="E23" s="1819">
        <f t="shared" si="1"/>
        <v>0.057349349215377925</v>
      </c>
      <c r="F23" s="1814">
        <f>SUM(MONTEVIDEO!C4:C10)</f>
        <v>420001</v>
      </c>
      <c r="G23" s="1579">
        <f>SUM(MONTEVIDEO!D4:D10)</f>
        <v>382342</v>
      </c>
      <c r="H23" s="1582">
        <f t="shared" si="2"/>
        <v>0.09849558771989475</v>
      </c>
      <c r="I23" s="1575">
        <v>596487</v>
      </c>
      <c r="J23" s="1323">
        <f t="shared" si="0"/>
        <v>655238.3376322768</v>
      </c>
    </row>
    <row r="24" spans="1:10" ht="11.25">
      <c r="A24" s="562" t="s">
        <v>234</v>
      </c>
      <c r="B24" s="1409" t="s">
        <v>147</v>
      </c>
      <c r="C24" s="1435">
        <f>SUM('NEW ORLEANS'!S8)</f>
        <v>22303</v>
      </c>
      <c r="D24" s="1436">
        <f>SUM('NEW ORLEANS'!T8)</f>
        <v>21257</v>
      </c>
      <c r="E24" s="1819">
        <f t="shared" si="1"/>
        <v>0.04920731994166627</v>
      </c>
      <c r="F24" s="1814">
        <f>SUM('NEW ORLEANS'!S4:S8)</f>
        <v>102762</v>
      </c>
      <c r="G24" s="1579">
        <f>SUM('NEW ORLEANS'!T4:T8)</f>
        <v>101824</v>
      </c>
      <c r="H24" s="1582">
        <f t="shared" si="2"/>
        <v>0.009211973601508485</v>
      </c>
      <c r="I24" s="1573">
        <v>250649</v>
      </c>
      <c r="J24" s="1323">
        <f t="shared" si="0"/>
        <v>252957.9719712445</v>
      </c>
    </row>
    <row r="25" spans="1:10" ht="11.25">
      <c r="A25" s="562" t="s">
        <v>219</v>
      </c>
      <c r="B25" s="1409" t="s">
        <v>147</v>
      </c>
      <c r="C25" s="1435">
        <f>SUM('NEW YORK NEW JERSEY'!S11)</f>
        <v>458545</v>
      </c>
      <c r="D25" s="1436">
        <f>SUM('NEW YORK NEW JERSEY'!T11)</f>
        <v>443706</v>
      </c>
      <c r="E25" s="1819">
        <f t="shared" si="1"/>
        <v>0.033443316069649724</v>
      </c>
      <c r="F25" s="1814">
        <f>SUM('NEW YORK NEW JERSEY'!S5:S11)</f>
        <v>2952294</v>
      </c>
      <c r="G25" s="1579">
        <f>SUM('NEW YORK NEW JERSEY'!T5:T11)</f>
        <v>3013406</v>
      </c>
      <c r="H25" s="1582">
        <f t="shared" si="2"/>
        <v>-0.020280041919343097</v>
      </c>
      <c r="I25" s="1573">
        <v>5299105</v>
      </c>
      <c r="J25" s="1323">
        <f t="shared" si="0"/>
        <v>5191638.928464999</v>
      </c>
    </row>
    <row r="26" spans="1:10" ht="11.25">
      <c r="A26" s="562" t="s">
        <v>112</v>
      </c>
      <c r="B26" s="1409" t="s">
        <v>147</v>
      </c>
      <c r="C26" s="1435">
        <f>SUM(OAKLAND!AT9)</f>
        <v>201261</v>
      </c>
      <c r="D26" s="1436">
        <f>SUM(OAKLAND!AU9)</f>
        <v>212799</v>
      </c>
      <c r="E26" s="1819">
        <f t="shared" si="1"/>
        <v>-0.05422017960610717</v>
      </c>
      <c r="F26" s="1814">
        <f>SUM(OAKLAND!AT3:AT9)</f>
        <v>1319739</v>
      </c>
      <c r="G26" s="1579">
        <f>SUM(OAKLAND!AU3:AU9)</f>
        <v>1357173</v>
      </c>
      <c r="H26" s="1582">
        <f t="shared" si="2"/>
        <v>-0.02758233475024923</v>
      </c>
      <c r="I26" s="1576">
        <v>2388182</v>
      </c>
      <c r="J26" s="1323">
        <f t="shared" si="0"/>
        <v>2322310.36463148</v>
      </c>
    </row>
    <row r="27" spans="1:10" ht="11.25">
      <c r="A27" s="562" t="s">
        <v>237</v>
      </c>
      <c r="B27" s="1409" t="s">
        <v>147</v>
      </c>
      <c r="C27" s="1435">
        <f>SUM('PALM BEACH'!U10)</f>
        <v>20460</v>
      </c>
      <c r="D27" s="1436">
        <f>SUM('PALM BEACH'!V10)</f>
        <v>21237</v>
      </c>
      <c r="E27" s="1819">
        <f t="shared" si="1"/>
        <v>-0.03658708857183218</v>
      </c>
      <c r="F27" s="1814">
        <f>SUM('PALM BEACH'!U4:U10)</f>
        <v>139418</v>
      </c>
      <c r="G27" s="1579">
        <f>SUM('PALM BEACH'!V4:V10)</f>
        <v>148282</v>
      </c>
      <c r="H27" s="1582">
        <f t="shared" si="2"/>
        <v>-0.059777990585505994</v>
      </c>
      <c r="I27" s="1571">
        <v>249931</v>
      </c>
      <c r="J27" s="1323">
        <f t="shared" si="0"/>
        <v>234990.6270349739</v>
      </c>
    </row>
    <row r="28" spans="1:10" ht="11.25">
      <c r="A28" s="1770" t="s">
        <v>228</v>
      </c>
      <c r="B28" s="1409" t="s">
        <v>141</v>
      </c>
      <c r="C28" s="1435">
        <f>SUM(PARANAGUA!K9)</f>
        <v>48595</v>
      </c>
      <c r="D28" s="1436">
        <f>SUM(PARANAGUA!L9)</f>
        <v>45975</v>
      </c>
      <c r="E28" s="1819">
        <f t="shared" si="1"/>
        <v>0.05698749320282762</v>
      </c>
      <c r="F28" s="1814">
        <f>SUM(PARANAGUA!K3:K9)</f>
        <v>332688</v>
      </c>
      <c r="G28" s="1579">
        <f>SUM(PARANAGUA!L3:L9)</f>
        <v>318647</v>
      </c>
      <c r="H28" s="1582">
        <f t="shared" si="2"/>
        <v>0.04406443493897636</v>
      </c>
      <c r="I28" s="1575">
        <v>595261</v>
      </c>
      <c r="J28" s="1323">
        <f t="shared" si="0"/>
        <v>621490.83960621</v>
      </c>
    </row>
    <row r="29" spans="1:10" ht="11.25">
      <c r="A29" s="562" t="s">
        <v>111</v>
      </c>
      <c r="B29" s="1409" t="s">
        <v>147</v>
      </c>
      <c r="C29" s="1435">
        <f>SUM(PORTLAND!AI10)</f>
        <v>16072</v>
      </c>
      <c r="D29" s="1436">
        <f>SUM(PORTLAND!AJ10)</f>
        <v>25493</v>
      </c>
      <c r="E29" s="1819">
        <f t="shared" si="1"/>
        <v>-0.36955242615619976</v>
      </c>
      <c r="F29" s="1814">
        <f>SUM(PORTLAND!AI4:AI10)</f>
        <v>139824</v>
      </c>
      <c r="G29" s="1579">
        <f>SUM(PORTLAND!AJ4:AJ10)</f>
        <v>148356</v>
      </c>
      <c r="H29" s="1582">
        <f t="shared" si="2"/>
        <v>-0.057510313030817765</v>
      </c>
      <c r="I29" s="1573">
        <v>260128</v>
      </c>
      <c r="J29" s="1323">
        <f t="shared" si="0"/>
        <v>245167.95729191945</v>
      </c>
    </row>
    <row r="30" spans="1:10" ht="11.25">
      <c r="A30" s="562" t="s">
        <v>217</v>
      </c>
      <c r="B30" s="1409" t="s">
        <v>177</v>
      </c>
      <c r="C30" s="1435">
        <f>SUM('PUERTO CABELLO'!C10)</f>
        <v>70518</v>
      </c>
      <c r="D30" s="1436">
        <f>SUM('PUERTO CABELLO'!D10)</f>
        <v>76378</v>
      </c>
      <c r="E30" s="1819">
        <f t="shared" si="1"/>
        <v>-0.07672366388226977</v>
      </c>
      <c r="F30" s="1814">
        <f>SUM('PUERTO CABELLO'!C4:C10)</f>
        <v>436778</v>
      </c>
      <c r="G30" s="1579">
        <f>SUM('PUERTO CABELLO'!D4:D10)</f>
        <v>482268</v>
      </c>
      <c r="H30" s="1582">
        <f t="shared" si="2"/>
        <v>-0.09432514701369363</v>
      </c>
      <c r="I30" s="1571">
        <f>SUM('PUERTO CABELLO'!D4:D15)</f>
        <v>832732</v>
      </c>
      <c r="J30" s="1323">
        <f t="shared" si="0"/>
        <v>754184.4316769929</v>
      </c>
    </row>
    <row r="31" spans="1:10" ht="11.25">
      <c r="A31" s="562" t="s">
        <v>124</v>
      </c>
      <c r="B31" s="1409" t="s">
        <v>147</v>
      </c>
      <c r="C31" s="1435">
        <f>SUM('SAN DIEGO'!AH10)</f>
        <v>6900</v>
      </c>
      <c r="D31" s="1436">
        <f>SUM('SAN DIEGO'!AI10)</f>
        <v>8890</v>
      </c>
      <c r="E31" s="1819">
        <f t="shared" si="1"/>
        <v>-0.22384701912260968</v>
      </c>
      <c r="F31" s="1814">
        <f>SUM('SAN DIEGO'!AH4:AH10)</f>
        <v>52420</v>
      </c>
      <c r="G31" s="1579">
        <f>SUM('SAN DIEGO'!AI4:AI10)</f>
        <v>57053</v>
      </c>
      <c r="H31" s="1582">
        <f t="shared" si="2"/>
        <v>-0.08120519516940389</v>
      </c>
      <c r="I31" s="1575">
        <v>93671</v>
      </c>
      <c r="J31" s="1323">
        <f t="shared" si="0"/>
        <v>86064.42816328676</v>
      </c>
    </row>
    <row r="32" spans="1:10" ht="11.25">
      <c r="A32" s="562" t="s">
        <v>242</v>
      </c>
      <c r="B32" s="1409" t="s">
        <v>141</v>
      </c>
      <c r="C32" s="1435">
        <f>SUM(SANTOS!AG10)</f>
        <v>230315</v>
      </c>
      <c r="D32" s="1436">
        <f>SUM(SANTOS!AH10)</f>
        <v>223963</v>
      </c>
      <c r="E32" s="1819">
        <f>SUM(C32-D32)/D32</f>
        <v>0.02836182762331278</v>
      </c>
      <c r="F32" s="1814">
        <f>SUM(SANTOS!AG4:AG10)</f>
        <v>1483606</v>
      </c>
      <c r="G32" s="1579">
        <f>SUM(SANTOS!AH4:AH10)</f>
        <v>1441054</v>
      </c>
      <c r="H32" s="1582">
        <f>SUM(F32-G32)/G32</f>
        <v>0.02952838686128348</v>
      </c>
      <c r="I32" s="1571">
        <f>SUM(SANTOS!AH4:AH15)</f>
        <v>2532900</v>
      </c>
      <c r="J32" s="1323">
        <f t="shared" si="0"/>
        <v>2607692.451080945</v>
      </c>
    </row>
    <row r="33" spans="1:10" ht="11.25">
      <c r="A33" s="562" t="s">
        <v>108</v>
      </c>
      <c r="B33" s="1409" t="s">
        <v>147</v>
      </c>
      <c r="C33" s="1435">
        <f>SUM(SAVANNAH!AI10)</f>
        <v>220796</v>
      </c>
      <c r="D33" s="1436">
        <f>SUM(SAVANNAH!AJ10)</f>
        <v>231692</v>
      </c>
      <c r="E33" s="1819">
        <f t="shared" si="1"/>
        <v>-0.0470279509003332</v>
      </c>
      <c r="F33" s="1814">
        <f>SUM(SAVANNAH!AI4:AI10)</f>
        <v>1519248</v>
      </c>
      <c r="G33" s="1579">
        <f>SUM(SAVANNAH!AJ4:AJ10)</f>
        <v>1446922</v>
      </c>
      <c r="H33" s="1582">
        <f t="shared" si="2"/>
        <v>0.04998610844261128</v>
      </c>
      <c r="I33" s="1573">
        <v>2604312</v>
      </c>
      <c r="J33" s="1323">
        <f t="shared" si="0"/>
        <v>2734491.4220503937</v>
      </c>
    </row>
    <row r="34" spans="1:10" ht="11.25">
      <c r="A34" s="562" t="s">
        <v>109</v>
      </c>
      <c r="B34" s="1409" t="s">
        <v>147</v>
      </c>
      <c r="C34" s="1435">
        <f>SUM('SEATTLE '!AQ10)</f>
        <v>144473</v>
      </c>
      <c r="D34" s="1436">
        <f>SUM('SEATTLE '!AR10)</f>
        <v>173065</v>
      </c>
      <c r="E34" s="1819">
        <f t="shared" si="1"/>
        <v>-0.1652096033282293</v>
      </c>
      <c r="F34" s="1814">
        <f>SUM('SEATTLE '!AQ4:AQ10)</f>
        <v>1025580</v>
      </c>
      <c r="G34" s="1579">
        <f>SUM('SEATTLE '!AR4:AR10)</f>
        <v>1114991</v>
      </c>
      <c r="H34" s="1582">
        <f t="shared" si="2"/>
        <v>-0.08018988494077531</v>
      </c>
      <c r="I34" s="1570">
        <v>1973505</v>
      </c>
      <c r="J34" s="1323">
        <f t="shared" si="0"/>
        <v>1815249.8611199553</v>
      </c>
    </row>
    <row r="35" spans="1:10" ht="11.25">
      <c r="A35" s="562" t="s">
        <v>110</v>
      </c>
      <c r="B35" s="1409" t="s">
        <v>147</v>
      </c>
      <c r="C35" s="1435">
        <f>SUM(TACOMA!AQ11)</f>
        <v>150093</v>
      </c>
      <c r="D35" s="1436">
        <f>SUM(TACOMA!AR11)</f>
        <v>153119</v>
      </c>
      <c r="E35" s="1819">
        <f t="shared" si="1"/>
        <v>-0.019762407016764738</v>
      </c>
      <c r="F35" s="1814">
        <f>SUM(TACOMA!AQ5:AQ11)</f>
        <v>1094023</v>
      </c>
      <c r="G35" s="1579">
        <f>SUM(TACOMA!AR5:AR11)</f>
        <v>1102707</v>
      </c>
      <c r="H35" s="1582">
        <f t="shared" si="2"/>
        <v>-0.007875165388448608</v>
      </c>
      <c r="I35" s="1571">
        <v>1924934</v>
      </c>
      <c r="J35" s="1323">
        <f t="shared" si="0"/>
        <v>1909774.826388152</v>
      </c>
    </row>
    <row r="36" spans="1:10" ht="11.25">
      <c r="A36" s="562" t="s">
        <v>209</v>
      </c>
      <c r="B36" s="1409" t="s">
        <v>210</v>
      </c>
      <c r="C36" s="1435">
        <f>SUM(VALPARAISO!C10)</f>
        <v>83761</v>
      </c>
      <c r="D36" s="1436">
        <f>SUM(VALPARAISO!D10)</f>
        <v>73562</v>
      </c>
      <c r="E36" s="1819">
        <f t="shared" si="1"/>
        <v>0.13864495255702672</v>
      </c>
      <c r="F36" s="1814">
        <f>SUM(VALPARAISO!C4:C11)</f>
        <v>598203</v>
      </c>
      <c r="G36" s="1579">
        <f>SUM(VALPARAISO!D4:D11)</f>
        <v>560869</v>
      </c>
      <c r="H36" s="1582">
        <f t="shared" si="2"/>
        <v>0.06656456320459858</v>
      </c>
      <c r="I36" s="1573">
        <v>845234</v>
      </c>
      <c r="J36" s="1323">
        <f t="shared" si="0"/>
        <v>901496.6320156757</v>
      </c>
    </row>
    <row r="37" spans="1:10" ht="11.25">
      <c r="A37" s="562" t="s">
        <v>201</v>
      </c>
      <c r="B37" s="1409" t="s">
        <v>140</v>
      </c>
      <c r="C37" s="1435">
        <f>SUM('VANCOUVER FRASER'!O9)</f>
        <v>225427</v>
      </c>
      <c r="D37" s="1436">
        <f>SUM('VANCOUVER FRASER'!P9)</f>
        <v>219801</v>
      </c>
      <c r="E37" s="1819">
        <f t="shared" si="1"/>
        <v>0.02559587990955455</v>
      </c>
      <c r="F37" s="1814">
        <f>SUM('VANCOUVER FRASER'!O3:O9)</f>
        <v>1448816</v>
      </c>
      <c r="G37" s="1579">
        <f>SUM('VANCOUVER FRASER'!P3:P9)</f>
        <v>1392916</v>
      </c>
      <c r="H37" s="1582">
        <f t="shared" si="2"/>
        <v>0.04013163751439426</v>
      </c>
      <c r="I37" s="1571">
        <v>2498691</v>
      </c>
      <c r="J37" s="1323">
        <f t="shared" si="0"/>
        <v>2598967.5614724793</v>
      </c>
    </row>
    <row r="38" spans="1:10" ht="11.25">
      <c r="A38" s="562" t="s">
        <v>128</v>
      </c>
      <c r="B38" s="1409" t="s">
        <v>142</v>
      </c>
      <c r="C38" s="1434">
        <f>SUM(VERACRUZ!AA10)</f>
        <v>65225</v>
      </c>
      <c r="D38" s="1071">
        <f>SUM(VERACRUZ!AB10)</f>
        <v>62832</v>
      </c>
      <c r="E38" s="1819">
        <f>SUM(C38-D38)/D38</f>
        <v>0.03808568882098294</v>
      </c>
      <c r="F38" s="1814">
        <f>SUM(VERACRUZ!AA4:AA10)</f>
        <v>413617</v>
      </c>
      <c r="G38" s="1579">
        <f>SUM(VERACRUZ!AB4:AB10)</f>
        <v>409700</v>
      </c>
      <c r="H38" s="1582">
        <f>SUM(F38-G38)/G38</f>
        <v>0.009560654137173542</v>
      </c>
      <c r="I38" s="1573">
        <v>729717</v>
      </c>
      <c r="J38" s="1323">
        <f t="shared" si="0"/>
        <v>736693.5718550158</v>
      </c>
    </row>
    <row r="39" spans="1:10" ht="12" thickBot="1">
      <c r="A39" s="563" t="s">
        <v>138</v>
      </c>
      <c r="B39" s="1410" t="s">
        <v>147</v>
      </c>
      <c r="C39" s="1441">
        <f>SUM('WILMINGTON, NC'!W10)</f>
        <v>13716</v>
      </c>
      <c r="D39" s="1442">
        <f>SUM('WILMINGTON, NC'!X10)</f>
        <v>14119</v>
      </c>
      <c r="E39" s="1820">
        <f>SUM(C39-D39)/D39</f>
        <v>-0.028543097953112828</v>
      </c>
      <c r="F39" s="1817">
        <f>SUM('WILMINGTON, NC'!W4:W10)</f>
        <v>114096</v>
      </c>
      <c r="G39" s="1583">
        <f>SUM('WILMINGTON, NC'!X4:X10)</f>
        <v>100672</v>
      </c>
      <c r="H39" s="1584">
        <f>SUM(F39-G39)/G39</f>
        <v>0.13334392879847426</v>
      </c>
      <c r="I39" s="1577">
        <v>191070</v>
      </c>
      <c r="J39" s="1324">
        <f t="shared" si="0"/>
        <v>216548.0244755245</v>
      </c>
    </row>
    <row r="41" spans="1:4" ht="11.25">
      <c r="A41" s="1909" t="s">
        <v>170</v>
      </c>
      <c r="B41" s="1909"/>
      <c r="C41" s="1909"/>
      <c r="D41" s="1909"/>
    </row>
    <row r="42" ht="11.25">
      <c r="A42" s="833" t="s">
        <v>232</v>
      </c>
    </row>
    <row r="43" ht="11.25">
      <c r="A43" s="833" t="s">
        <v>233</v>
      </c>
    </row>
  </sheetData>
  <mergeCells count="9">
    <mergeCell ref="A41:D41"/>
    <mergeCell ref="A1:J1"/>
    <mergeCell ref="A2:J2"/>
    <mergeCell ref="C3:E3"/>
    <mergeCell ref="F3:H3"/>
    <mergeCell ref="A3:A4"/>
    <mergeCell ref="B3:B4"/>
    <mergeCell ref="I3:I4"/>
    <mergeCell ref="J3:J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V2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0" sqref="A20"/>
    </sheetView>
  </sheetViews>
  <sheetFormatPr defaultColWidth="9.140625" defaultRowHeight="12.75"/>
  <cols>
    <col min="1" max="1" width="15.8515625" style="0" customWidth="1"/>
    <col min="2" max="2" width="10.57421875" style="10" customWidth="1"/>
    <col min="3" max="3" width="9.140625" style="10" customWidth="1"/>
    <col min="4" max="4" width="9.7109375" style="10" customWidth="1"/>
    <col min="5" max="8" width="7.8515625" style="10" customWidth="1"/>
    <col min="9" max="18" width="7.8515625" style="0" customWidth="1"/>
    <col min="19" max="22" width="6.57421875" style="0" customWidth="1"/>
    <col min="23" max="23" width="10.7109375" style="0" customWidth="1"/>
    <col min="25" max="25" width="9.7109375" style="0" customWidth="1"/>
    <col min="26" max="27" width="10.421875" style="0" customWidth="1"/>
    <col min="28" max="28" width="9.8515625" style="0" customWidth="1"/>
    <col min="29" max="29" width="12.28125" style="0" customWidth="1"/>
    <col min="30" max="36" width="8.7109375" style="0" customWidth="1"/>
    <col min="37" max="39" width="7.8515625" style="0" customWidth="1"/>
    <col min="40" max="40" width="10.57421875" style="0" customWidth="1"/>
    <col min="42" max="42" width="9.7109375" style="0" customWidth="1"/>
    <col min="43" max="57" width="6.57421875" style="0" customWidth="1"/>
    <col min="58" max="58" width="10.57421875" style="0" customWidth="1"/>
    <col min="60" max="60" width="9.7109375" style="0" customWidth="1"/>
    <col min="61" max="72" width="8.7109375" style="0" customWidth="1"/>
    <col min="73" max="75" width="7.8515625" style="0" customWidth="1"/>
    <col min="76" max="76" width="10.57421875" style="0" customWidth="1"/>
    <col min="78" max="78" width="9.7109375" style="0" customWidth="1"/>
    <col min="79" max="83" width="5.7109375" style="0" customWidth="1"/>
    <col min="84" max="84" width="4.8515625" style="0" customWidth="1"/>
    <col min="85" max="88" width="5.7109375" style="0" customWidth="1"/>
    <col min="89" max="89" width="5.28125" style="0" customWidth="1"/>
    <col min="90" max="93" width="4.8515625" style="0" customWidth="1"/>
  </cols>
  <sheetData>
    <row r="1" spans="1:93" s="749" customFormat="1" ht="13.5" thickTop="1">
      <c r="A1" s="1938" t="s">
        <v>171</v>
      </c>
      <c r="B1" s="839"/>
      <c r="C1" s="840"/>
      <c r="D1" s="840"/>
      <c r="E1" s="840"/>
      <c r="F1" s="840"/>
      <c r="G1" s="840"/>
      <c r="H1" s="840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2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  <c r="AM1" s="843"/>
      <c r="AN1" s="843"/>
      <c r="AO1" s="843"/>
      <c r="AP1" s="843"/>
      <c r="AQ1" s="843"/>
      <c r="AR1" s="843"/>
      <c r="AS1" s="843"/>
      <c r="AT1" s="843"/>
      <c r="AU1" s="843"/>
      <c r="AV1" s="843"/>
      <c r="AW1" s="843"/>
      <c r="AX1" s="843"/>
      <c r="AY1" s="843"/>
      <c r="AZ1" s="843"/>
      <c r="BA1" s="843"/>
      <c r="BB1" s="843"/>
      <c r="BC1" s="843"/>
      <c r="BD1" s="843"/>
      <c r="BE1" s="843"/>
      <c r="BF1" s="843"/>
      <c r="BG1" s="843"/>
      <c r="BH1" s="843"/>
      <c r="BI1" s="843"/>
      <c r="BJ1" s="843"/>
      <c r="BK1" s="843"/>
      <c r="BL1" s="843"/>
      <c r="BM1" s="843"/>
      <c r="BN1" s="843"/>
      <c r="BO1" s="843"/>
      <c r="BP1" s="843"/>
      <c r="BQ1" s="843"/>
      <c r="BR1" s="843"/>
      <c r="BS1" s="843"/>
      <c r="BT1" s="843"/>
      <c r="BU1" s="843"/>
      <c r="BV1" s="843"/>
      <c r="BW1" s="843"/>
      <c r="BX1" s="843"/>
      <c r="BY1" s="843"/>
      <c r="BZ1" s="843"/>
      <c r="CA1" s="843"/>
      <c r="CB1" s="843"/>
      <c r="CC1" s="843"/>
      <c r="CD1" s="843"/>
      <c r="CE1" s="843"/>
      <c r="CF1" s="843"/>
      <c r="CG1" s="843"/>
      <c r="CH1" s="843"/>
      <c r="CI1" s="843"/>
      <c r="CJ1" s="843"/>
      <c r="CK1" s="843"/>
      <c r="CL1" s="843"/>
      <c r="CM1" s="843"/>
      <c r="CN1" s="843"/>
      <c r="CO1" s="843"/>
    </row>
    <row r="2" spans="1:93" s="749" customFormat="1" ht="13.5" thickBot="1">
      <c r="A2" s="1939"/>
      <c r="B2" s="844"/>
      <c r="C2" s="845"/>
      <c r="D2" s="845"/>
      <c r="E2" s="845"/>
      <c r="F2" s="845"/>
      <c r="G2" s="845"/>
      <c r="H2" s="845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7"/>
      <c r="W2" s="846" t="s">
        <v>30</v>
      </c>
      <c r="X2" s="846"/>
      <c r="Y2" s="846"/>
      <c r="Z2" s="846"/>
      <c r="AA2" s="846"/>
      <c r="AB2" s="846"/>
      <c r="AC2" s="846"/>
      <c r="AD2" s="846"/>
      <c r="AE2" s="846"/>
      <c r="AF2" s="846"/>
      <c r="AG2" s="846"/>
      <c r="AH2" s="846"/>
      <c r="AI2" s="846"/>
      <c r="AJ2" s="846"/>
      <c r="AK2" s="846"/>
      <c r="AL2" s="846"/>
      <c r="AM2" s="846"/>
      <c r="AN2" s="846"/>
      <c r="AO2" s="846"/>
      <c r="AP2" s="846"/>
      <c r="AQ2" s="846"/>
      <c r="AR2" s="846"/>
      <c r="AS2" s="846"/>
      <c r="AT2" s="846"/>
      <c r="AU2" s="846"/>
      <c r="AV2" s="846"/>
      <c r="AW2" s="846"/>
      <c r="AX2" s="846"/>
      <c r="AY2" s="846"/>
      <c r="AZ2" s="846"/>
      <c r="BA2" s="846"/>
      <c r="BB2" s="846"/>
      <c r="BC2" s="846"/>
      <c r="BD2" s="846"/>
      <c r="BE2" s="846"/>
      <c r="BF2" s="846"/>
      <c r="BG2" s="846"/>
      <c r="BH2" s="846"/>
      <c r="BI2" s="846"/>
      <c r="BJ2" s="846"/>
      <c r="BK2" s="846"/>
      <c r="BL2" s="846"/>
      <c r="BM2" s="846"/>
      <c r="BN2" s="846"/>
      <c r="BO2" s="846"/>
      <c r="BP2" s="846"/>
      <c r="BQ2" s="846"/>
      <c r="BR2" s="846"/>
      <c r="BS2" s="846"/>
      <c r="BT2" s="846"/>
      <c r="BU2" s="846"/>
      <c r="BV2" s="846"/>
      <c r="BW2" s="846"/>
      <c r="BX2" s="846"/>
      <c r="BY2" s="846"/>
      <c r="BZ2" s="846"/>
      <c r="CA2" s="846"/>
      <c r="CB2" s="846"/>
      <c r="CC2" s="846"/>
      <c r="CD2" s="846"/>
      <c r="CE2" s="846"/>
      <c r="CF2" s="846"/>
      <c r="CG2" s="846"/>
      <c r="CH2" s="846"/>
      <c r="CI2" s="846"/>
      <c r="CJ2" s="846"/>
      <c r="CK2" s="846"/>
      <c r="CL2" s="846"/>
      <c r="CM2" s="846"/>
      <c r="CN2" s="846"/>
      <c r="CO2" s="846"/>
    </row>
    <row r="3" spans="1:93" s="749" customFormat="1" ht="13.5" thickBot="1">
      <c r="A3" s="1939"/>
      <c r="B3" s="1945" t="s">
        <v>35</v>
      </c>
      <c r="C3" s="1946"/>
      <c r="D3" s="1946"/>
      <c r="E3" s="1946"/>
      <c r="F3" s="1946"/>
      <c r="G3" s="1946"/>
      <c r="H3" s="1946"/>
      <c r="I3" s="1946"/>
      <c r="J3" s="1946"/>
      <c r="K3" s="1946"/>
      <c r="L3" s="1946"/>
      <c r="M3" s="1946"/>
      <c r="N3" s="1946"/>
      <c r="O3" s="1946"/>
      <c r="P3" s="1946"/>
      <c r="Q3" s="1946"/>
      <c r="R3" s="1946"/>
      <c r="S3" s="1946"/>
      <c r="T3" s="1946"/>
      <c r="U3" s="1946"/>
      <c r="V3" s="1947"/>
      <c r="W3" s="1927" t="s">
        <v>145</v>
      </c>
      <c r="X3" s="1928"/>
      <c r="Y3" s="1928"/>
      <c r="Z3" s="1928"/>
      <c r="AA3" s="1928"/>
      <c r="AB3" s="1928"/>
      <c r="AC3" s="1928"/>
      <c r="AD3" s="1928"/>
      <c r="AE3" s="1928"/>
      <c r="AF3" s="1928"/>
      <c r="AG3" s="1928"/>
      <c r="AH3" s="1928"/>
      <c r="AI3" s="1928"/>
      <c r="AJ3" s="1928"/>
      <c r="AK3" s="1928"/>
      <c r="AL3" s="1928"/>
      <c r="AM3" s="1940"/>
      <c r="AN3" s="1941" t="s">
        <v>146</v>
      </c>
      <c r="AO3" s="1942"/>
      <c r="AP3" s="1942"/>
      <c r="AQ3" s="1942"/>
      <c r="AR3" s="1942"/>
      <c r="AS3" s="1942"/>
      <c r="AT3" s="1942"/>
      <c r="AU3" s="1942"/>
      <c r="AV3" s="1942"/>
      <c r="AW3" s="1942"/>
      <c r="AX3" s="1942"/>
      <c r="AY3" s="1942"/>
      <c r="AZ3" s="1942"/>
      <c r="BA3" s="1942"/>
      <c r="BB3" s="1942"/>
      <c r="BC3" s="1942"/>
      <c r="BD3" s="1942"/>
      <c r="BE3" s="1943"/>
      <c r="BF3" s="1867" t="s">
        <v>33</v>
      </c>
      <c r="BG3" s="1868"/>
      <c r="BH3" s="1868"/>
      <c r="BI3" s="1868"/>
      <c r="BJ3" s="1868"/>
      <c r="BK3" s="1868"/>
      <c r="BL3" s="1868"/>
      <c r="BM3" s="1868"/>
      <c r="BN3" s="1868"/>
      <c r="BO3" s="1868"/>
      <c r="BP3" s="1868"/>
      <c r="BQ3" s="1868"/>
      <c r="BR3" s="1868"/>
      <c r="BS3" s="1868"/>
      <c r="BT3" s="1868"/>
      <c r="BU3" s="1868"/>
      <c r="BV3" s="1868"/>
      <c r="BW3" s="1944"/>
      <c r="BX3" s="1935" t="s">
        <v>153</v>
      </c>
      <c r="BY3" s="1936"/>
      <c r="BZ3" s="1936"/>
      <c r="CA3" s="1936"/>
      <c r="CB3" s="1936"/>
      <c r="CC3" s="1936"/>
      <c r="CD3" s="1936"/>
      <c r="CE3" s="1936"/>
      <c r="CF3" s="1936"/>
      <c r="CG3" s="1936"/>
      <c r="CH3" s="1936"/>
      <c r="CI3" s="1936"/>
      <c r="CJ3" s="1936"/>
      <c r="CK3" s="1936"/>
      <c r="CL3" s="1936"/>
      <c r="CM3" s="1936"/>
      <c r="CN3" s="1936"/>
      <c r="CO3" s="1937"/>
    </row>
    <row r="4" spans="1:126" s="749" customFormat="1" ht="12.75" customHeight="1" thickBot="1">
      <c r="A4" s="1939"/>
      <c r="B4" s="834" t="s">
        <v>197</v>
      </c>
      <c r="C4" s="835" t="s">
        <v>195</v>
      </c>
      <c r="D4" s="835" t="s">
        <v>196</v>
      </c>
      <c r="E4" s="835">
        <v>2008</v>
      </c>
      <c r="F4" s="835">
        <v>2007</v>
      </c>
      <c r="G4" s="835">
        <v>2006</v>
      </c>
      <c r="H4" s="835">
        <v>2005</v>
      </c>
      <c r="I4" s="835">
        <v>2004</v>
      </c>
      <c r="J4" s="835">
        <v>2003</v>
      </c>
      <c r="K4" s="835" t="s">
        <v>6</v>
      </c>
      <c r="L4" s="835" t="s">
        <v>36</v>
      </c>
      <c r="M4" s="835" t="s">
        <v>7</v>
      </c>
      <c r="N4" s="835" t="s">
        <v>8</v>
      </c>
      <c r="O4" s="835" t="s">
        <v>9</v>
      </c>
      <c r="P4" s="835" t="s">
        <v>10</v>
      </c>
      <c r="Q4" s="835" t="s">
        <v>11</v>
      </c>
      <c r="R4" s="835">
        <v>1995</v>
      </c>
      <c r="S4" s="835">
        <v>1994</v>
      </c>
      <c r="T4" s="835" t="s">
        <v>37</v>
      </c>
      <c r="U4" s="835" t="s">
        <v>38</v>
      </c>
      <c r="V4" s="836" t="s">
        <v>39</v>
      </c>
      <c r="W4" s="267" t="s">
        <v>197</v>
      </c>
      <c r="X4" s="268" t="s">
        <v>195</v>
      </c>
      <c r="Y4" s="268" t="s">
        <v>196</v>
      </c>
      <c r="Z4" s="268">
        <v>2007</v>
      </c>
      <c r="AA4" s="268">
        <v>2007</v>
      </c>
      <c r="AB4" s="268">
        <v>2005</v>
      </c>
      <c r="AC4" s="268">
        <v>2004</v>
      </c>
      <c r="AD4" s="268">
        <v>2003</v>
      </c>
      <c r="AE4" s="268">
        <v>2002</v>
      </c>
      <c r="AF4" s="268" t="s">
        <v>36</v>
      </c>
      <c r="AG4" s="268" t="s">
        <v>7</v>
      </c>
      <c r="AH4" s="268" t="s">
        <v>8</v>
      </c>
      <c r="AI4" s="268" t="s">
        <v>9</v>
      </c>
      <c r="AJ4" s="268" t="s">
        <v>10</v>
      </c>
      <c r="AK4" s="268" t="s">
        <v>11</v>
      </c>
      <c r="AL4" s="268">
        <v>1995</v>
      </c>
      <c r="AM4" s="269">
        <v>1994</v>
      </c>
      <c r="AN4" s="1285" t="s">
        <v>197</v>
      </c>
      <c r="AO4" s="1286" t="s">
        <v>195</v>
      </c>
      <c r="AP4" s="1286" t="s">
        <v>196</v>
      </c>
      <c r="AQ4" s="1286">
        <v>2008</v>
      </c>
      <c r="AR4" s="1286">
        <v>2007</v>
      </c>
      <c r="AS4" s="1286">
        <v>2006</v>
      </c>
      <c r="AT4" s="1286">
        <v>2005</v>
      </c>
      <c r="AU4" s="1286">
        <v>2004</v>
      </c>
      <c r="AV4" s="1294">
        <v>2003</v>
      </c>
      <c r="AW4" s="1294" t="s">
        <v>6</v>
      </c>
      <c r="AX4" s="1294" t="s">
        <v>36</v>
      </c>
      <c r="AY4" s="1294" t="s">
        <v>7</v>
      </c>
      <c r="AZ4" s="1294" t="s">
        <v>8</v>
      </c>
      <c r="BA4" s="1294" t="s">
        <v>9</v>
      </c>
      <c r="BB4" s="1294">
        <v>1997</v>
      </c>
      <c r="BC4" s="1294" t="s">
        <v>11</v>
      </c>
      <c r="BD4" s="1294">
        <v>1995</v>
      </c>
      <c r="BE4" s="1295">
        <v>1994</v>
      </c>
      <c r="BF4" s="1305" t="s">
        <v>197</v>
      </c>
      <c r="BG4" s="1306" t="s">
        <v>195</v>
      </c>
      <c r="BH4" s="1306" t="s">
        <v>196</v>
      </c>
      <c r="BI4" s="848">
        <v>2008</v>
      </c>
      <c r="BJ4" s="848">
        <v>2007</v>
      </c>
      <c r="BK4" s="848">
        <v>2006</v>
      </c>
      <c r="BL4" s="849">
        <v>2005</v>
      </c>
      <c r="BM4" s="848">
        <v>2004</v>
      </c>
      <c r="BN4" s="848">
        <v>2003</v>
      </c>
      <c r="BO4" s="848" t="s">
        <v>6</v>
      </c>
      <c r="BP4" s="848" t="s">
        <v>36</v>
      </c>
      <c r="BQ4" s="848" t="s">
        <v>7</v>
      </c>
      <c r="BR4" s="848" t="s">
        <v>8</v>
      </c>
      <c r="BS4" s="848" t="s">
        <v>9</v>
      </c>
      <c r="BT4" s="848">
        <v>1997</v>
      </c>
      <c r="BU4" s="848" t="s">
        <v>11</v>
      </c>
      <c r="BV4" s="848">
        <v>1995</v>
      </c>
      <c r="BW4" s="848">
        <v>1994</v>
      </c>
      <c r="BX4" s="1273" t="s">
        <v>197</v>
      </c>
      <c r="BY4" s="266" t="s">
        <v>195</v>
      </c>
      <c r="BZ4" s="266" t="s">
        <v>196</v>
      </c>
      <c r="CA4" s="850">
        <v>2008</v>
      </c>
      <c r="CB4" s="850">
        <v>2007</v>
      </c>
      <c r="CC4" s="850">
        <v>2006</v>
      </c>
      <c r="CD4" s="850">
        <v>2005</v>
      </c>
      <c r="CE4" s="850">
        <v>2004</v>
      </c>
      <c r="CF4" s="850">
        <v>2003</v>
      </c>
      <c r="CG4" s="850" t="s">
        <v>6</v>
      </c>
      <c r="CH4" s="850" t="s">
        <v>36</v>
      </c>
      <c r="CI4" s="850" t="s">
        <v>7</v>
      </c>
      <c r="CJ4" s="850" t="s">
        <v>8</v>
      </c>
      <c r="CK4" s="850" t="s">
        <v>9</v>
      </c>
      <c r="CL4" s="850">
        <v>1997</v>
      </c>
      <c r="CM4" s="850" t="s">
        <v>11</v>
      </c>
      <c r="CN4" s="850">
        <v>1995</v>
      </c>
      <c r="CO4" s="850">
        <v>1994</v>
      </c>
      <c r="CP4" s="826"/>
      <c r="CQ4" s="826"/>
      <c r="CR4" s="826"/>
      <c r="CS4" s="826"/>
      <c r="CT4" s="826"/>
      <c r="CU4" s="826"/>
      <c r="CV4" s="826"/>
      <c r="CW4" s="826"/>
      <c r="CX4" s="826"/>
      <c r="CY4" s="826"/>
      <c r="CZ4" s="826"/>
      <c r="DA4" s="826"/>
      <c r="DB4" s="826"/>
      <c r="DC4" s="826"/>
      <c r="DD4" s="826"/>
      <c r="DE4" s="826"/>
      <c r="DF4" s="826"/>
      <c r="DG4" s="826"/>
      <c r="DH4" s="826"/>
      <c r="DI4" s="826"/>
      <c r="DJ4" s="826"/>
      <c r="DK4" s="826"/>
      <c r="DL4" s="826"/>
      <c r="DM4" s="826"/>
      <c r="DN4" s="826"/>
      <c r="DO4" s="826"/>
      <c r="DP4" s="826"/>
      <c r="DQ4" s="826"/>
      <c r="DR4" s="826"/>
      <c r="DS4" s="826"/>
      <c r="DT4" s="826"/>
      <c r="DU4" s="826"/>
      <c r="DV4" s="826"/>
    </row>
    <row r="5" spans="1:93" s="749" customFormat="1" ht="12.75">
      <c r="A5" s="535" t="s">
        <v>13</v>
      </c>
      <c r="B5" s="585">
        <f aca="true" t="shared" si="0" ref="B5:B10">SUM(E5-F5)/F5</f>
        <v>0.03848516362884441</v>
      </c>
      <c r="C5" s="586">
        <f aca="true" t="shared" si="1" ref="C5:C10">SUM(E5-D5)/D5</f>
        <v>0.14986841715398555</v>
      </c>
      <c r="D5" s="587">
        <f>AVERAGE(F5:J5)</f>
        <v>148499.6</v>
      </c>
      <c r="E5" s="1432">
        <v>170755</v>
      </c>
      <c r="F5" s="851">
        <v>164427</v>
      </c>
      <c r="G5" s="852">
        <v>169078</v>
      </c>
      <c r="H5" s="852">
        <v>152198</v>
      </c>
      <c r="I5" s="852">
        <v>128549</v>
      </c>
      <c r="J5" s="852">
        <v>128246</v>
      </c>
      <c r="K5" s="852">
        <v>94512</v>
      </c>
      <c r="L5" s="852">
        <v>108083</v>
      </c>
      <c r="M5" s="852">
        <v>106912</v>
      </c>
      <c r="N5" s="852">
        <v>97805</v>
      </c>
      <c r="O5" s="852">
        <v>100335</v>
      </c>
      <c r="P5" s="852">
        <v>86555</v>
      </c>
      <c r="Q5" s="852">
        <v>80584</v>
      </c>
      <c r="R5" s="852">
        <v>83965</v>
      </c>
      <c r="S5" s="852">
        <v>60035</v>
      </c>
      <c r="T5" s="852">
        <v>58033</v>
      </c>
      <c r="U5" s="852">
        <v>68958</v>
      </c>
      <c r="V5" s="1280">
        <v>66479</v>
      </c>
      <c r="W5" s="235">
        <f aca="true" t="shared" si="2" ref="W5:W11">SUM(Z5-AA5)/AA5</f>
        <v>0.14213915867140361</v>
      </c>
      <c r="X5" s="236">
        <f aca="true" t="shared" si="3" ref="X5:X11">SUM(Z5-Y5)/Y5</f>
        <v>0.368109632888975</v>
      </c>
      <c r="Y5" s="237">
        <f>AVERAGE(AA5:AE5)</f>
        <v>1076698.8</v>
      </c>
      <c r="Z5" s="1346">
        <v>1473042</v>
      </c>
      <c r="AA5" s="1283">
        <v>1289722</v>
      </c>
      <c r="AB5" s="197">
        <v>1196362</v>
      </c>
      <c r="AC5" s="197">
        <v>1049018</v>
      </c>
      <c r="AD5" s="197">
        <v>1052137</v>
      </c>
      <c r="AE5" s="197">
        <v>796255</v>
      </c>
      <c r="AF5" s="197">
        <v>874665</v>
      </c>
      <c r="AG5" s="197">
        <v>918466</v>
      </c>
      <c r="AH5" s="197">
        <v>825625</v>
      </c>
      <c r="AI5" s="197">
        <v>829037</v>
      </c>
      <c r="AJ5" s="197">
        <v>699981</v>
      </c>
      <c r="AK5" s="197">
        <v>628325</v>
      </c>
      <c r="AL5" s="197">
        <v>666927</v>
      </c>
      <c r="AM5" s="802">
        <v>552812</v>
      </c>
      <c r="AN5" s="1287">
        <f aca="true" t="shared" si="4" ref="AN5:AN10">SUM(AQ5-AR5)/AR5</f>
        <v>0.05565174375463765</v>
      </c>
      <c r="AO5" s="1288">
        <f aca="true" t="shared" si="5" ref="AO5:AO10">SUM(AQ5-AP5)/AP5</f>
        <v>-0.18768586586729474</v>
      </c>
      <c r="AP5" s="1289">
        <f>AVERAGE(AR5:AV5)</f>
        <v>42033</v>
      </c>
      <c r="AQ5" s="1307">
        <v>34144</v>
      </c>
      <c r="AR5" s="1296">
        <v>32344</v>
      </c>
      <c r="AS5" s="1297">
        <v>41409</v>
      </c>
      <c r="AT5" s="1297">
        <v>44496</v>
      </c>
      <c r="AU5" s="1297">
        <v>41450</v>
      </c>
      <c r="AV5" s="1298">
        <v>50466</v>
      </c>
      <c r="AW5" s="1298">
        <v>44531</v>
      </c>
      <c r="AX5" s="1298">
        <v>44064</v>
      </c>
      <c r="AY5" s="1298">
        <v>56604</v>
      </c>
      <c r="AZ5" s="1298">
        <v>74238</v>
      </c>
      <c r="BA5" s="1298">
        <v>80506</v>
      </c>
      <c r="BB5" s="1298">
        <v>57799</v>
      </c>
      <c r="BC5" s="1298">
        <v>64346</v>
      </c>
      <c r="BD5" s="1298">
        <v>70293</v>
      </c>
      <c r="BE5" s="1299">
        <v>99679</v>
      </c>
      <c r="BF5" s="965">
        <f aca="true" t="shared" si="6" ref="BF5:BF10">SUM(BI5-BJ5)/BJ5</f>
        <v>0.14002326661452605</v>
      </c>
      <c r="BG5" s="966">
        <f aca="true" t="shared" si="7" ref="BG5:BG10">SUM(BI5-BH5)/BH5</f>
        <v>0.23801117308890932</v>
      </c>
      <c r="BH5" s="463">
        <f>AVERAGE(BJ5:BN5)</f>
        <v>1217425.2</v>
      </c>
      <c r="BI5" s="853">
        <f>+Z5+AQ5</f>
        <v>1507186</v>
      </c>
      <c r="BJ5" s="853">
        <f>+AA5+AR5</f>
        <v>1322066</v>
      </c>
      <c r="BK5" s="853">
        <f>+AA5+AS5</f>
        <v>1331131</v>
      </c>
      <c r="BL5" s="853">
        <f>+AB5+AT5</f>
        <v>1240858</v>
      </c>
      <c r="BM5" s="853">
        <f>+AC5+AU5</f>
        <v>1090468</v>
      </c>
      <c r="BN5" s="853">
        <f>+AD5+AV5</f>
        <v>1102603</v>
      </c>
      <c r="BO5" s="853">
        <v>840786</v>
      </c>
      <c r="BP5" s="853">
        <v>918729</v>
      </c>
      <c r="BQ5" s="853">
        <v>975070</v>
      </c>
      <c r="BR5" s="853">
        <v>899863</v>
      </c>
      <c r="BS5" s="853">
        <v>909543</v>
      </c>
      <c r="BT5" s="853">
        <v>757780</v>
      </c>
      <c r="BU5" s="853">
        <v>692671</v>
      </c>
      <c r="BV5" s="853">
        <v>737220</v>
      </c>
      <c r="BW5" s="854">
        <v>652491</v>
      </c>
      <c r="BX5" s="681">
        <f aca="true" t="shared" si="8" ref="BX5:BX11">SUM(CA5-CB5)/CB5</f>
        <v>0.3433999025815879</v>
      </c>
      <c r="BY5" s="969">
        <f aca="true" t="shared" si="9" ref="BY5:BY11">SUM(CA5-BZ5)/BZ5</f>
        <v>0.43870631194574855</v>
      </c>
      <c r="BZ5" s="948">
        <f>AVERAGE(CB5:CF5)</f>
        <v>1917</v>
      </c>
      <c r="CA5" s="861">
        <v>2758</v>
      </c>
      <c r="CB5" s="855">
        <v>2053</v>
      </c>
      <c r="CC5" s="856">
        <v>2205</v>
      </c>
      <c r="CD5" s="856">
        <v>2418</v>
      </c>
      <c r="CE5" s="856">
        <v>1817</v>
      </c>
      <c r="CF5" s="856">
        <v>1092</v>
      </c>
      <c r="CG5" s="856">
        <v>1399</v>
      </c>
      <c r="CH5" s="856">
        <v>1525</v>
      </c>
      <c r="CI5" s="856">
        <v>1580</v>
      </c>
      <c r="CJ5" s="856">
        <v>1452</v>
      </c>
      <c r="CK5" s="856">
        <v>1176</v>
      </c>
      <c r="CL5" s="856">
        <v>1164</v>
      </c>
      <c r="CM5" s="856">
        <v>966</v>
      </c>
      <c r="CN5" s="856">
        <v>1043</v>
      </c>
      <c r="CO5" s="857">
        <v>965</v>
      </c>
    </row>
    <row r="6" spans="1:93" s="749" customFormat="1" ht="12.75">
      <c r="A6" s="539" t="s">
        <v>14</v>
      </c>
      <c r="B6" s="585">
        <f t="shared" si="0"/>
        <v>0.07712067801695043</v>
      </c>
      <c r="C6" s="586">
        <f t="shared" si="1"/>
        <v>0.21343021904902726</v>
      </c>
      <c r="D6" s="587">
        <f aca="true" t="shared" si="10" ref="D6:D16">AVERAGE(F6:J6)</f>
        <v>142023</v>
      </c>
      <c r="E6" s="1432">
        <v>172335</v>
      </c>
      <c r="F6" s="851">
        <v>159996</v>
      </c>
      <c r="G6" s="621">
        <v>162948</v>
      </c>
      <c r="H6" s="621">
        <v>145009</v>
      </c>
      <c r="I6" s="621">
        <v>133893</v>
      </c>
      <c r="J6" s="621">
        <v>108269</v>
      </c>
      <c r="K6" s="621">
        <v>101889</v>
      </c>
      <c r="L6" s="621">
        <v>106403</v>
      </c>
      <c r="M6" s="621">
        <v>97677</v>
      </c>
      <c r="N6" s="621">
        <v>100366</v>
      </c>
      <c r="O6" s="621">
        <v>94618</v>
      </c>
      <c r="P6" s="621">
        <v>93583</v>
      </c>
      <c r="Q6" s="621">
        <v>90267</v>
      </c>
      <c r="R6" s="621">
        <v>77318</v>
      </c>
      <c r="S6" s="621">
        <v>65033</v>
      </c>
      <c r="T6" s="621">
        <v>62622</v>
      </c>
      <c r="U6" s="621">
        <v>64356</v>
      </c>
      <c r="V6" s="1281">
        <v>68878</v>
      </c>
      <c r="W6" s="52">
        <f t="shared" si="2"/>
        <v>0.14911683428259462</v>
      </c>
      <c r="X6" s="29">
        <f t="shared" si="3"/>
        <v>0.40239460934037624</v>
      </c>
      <c r="Y6" s="30">
        <f aca="true" t="shared" si="11" ref="Y6:Y16">AVERAGE(AA6:AE6)</f>
        <v>1068633.6</v>
      </c>
      <c r="Z6" s="1346">
        <v>1498646</v>
      </c>
      <c r="AA6" s="121">
        <v>1304172</v>
      </c>
      <c r="AB6" s="121">
        <v>1138925</v>
      </c>
      <c r="AC6" s="121">
        <v>1097603</v>
      </c>
      <c r="AD6" s="121">
        <v>924053</v>
      </c>
      <c r="AE6" s="121">
        <v>878415</v>
      </c>
      <c r="AF6" s="121">
        <v>909601</v>
      </c>
      <c r="AG6" s="121">
        <v>876275</v>
      </c>
      <c r="AH6" s="121">
        <v>848866</v>
      </c>
      <c r="AI6" s="121">
        <v>794716</v>
      </c>
      <c r="AJ6" s="121">
        <v>761463</v>
      </c>
      <c r="AK6" s="121">
        <v>706716</v>
      </c>
      <c r="AL6" s="121">
        <v>635473</v>
      </c>
      <c r="AM6" s="803">
        <v>506668</v>
      </c>
      <c r="AN6" s="55">
        <f t="shared" si="4"/>
        <v>-0.550393656820593</v>
      </c>
      <c r="AO6" s="32">
        <f t="shared" si="5"/>
        <v>-0.5748769825346878</v>
      </c>
      <c r="AP6" s="1290">
        <f aca="true" t="shared" si="12" ref="AP6:AP16">AVERAGE(AR6:AV6)</f>
        <v>37880.8</v>
      </c>
      <c r="AQ6" s="1307">
        <v>16104</v>
      </c>
      <c r="AR6" s="858">
        <v>35818</v>
      </c>
      <c r="AS6" s="736">
        <v>47263</v>
      </c>
      <c r="AT6" s="736">
        <v>29591</v>
      </c>
      <c r="AU6" s="858">
        <v>37488</v>
      </c>
      <c r="AV6" s="858">
        <v>39244</v>
      </c>
      <c r="AW6" s="858">
        <v>34207</v>
      </c>
      <c r="AX6" s="858">
        <v>43591</v>
      </c>
      <c r="AY6" s="858">
        <v>48975</v>
      </c>
      <c r="AZ6" s="858">
        <v>65617</v>
      </c>
      <c r="BA6" s="858">
        <v>50438</v>
      </c>
      <c r="BB6" s="858">
        <v>45266</v>
      </c>
      <c r="BC6" s="858">
        <v>61850</v>
      </c>
      <c r="BD6" s="858">
        <v>82467</v>
      </c>
      <c r="BE6" s="1300">
        <v>90444</v>
      </c>
      <c r="BF6" s="389">
        <f t="shared" si="6"/>
        <v>0.13041888372301286</v>
      </c>
      <c r="BG6" s="390">
        <f t="shared" si="7"/>
        <v>0.27111980556964876</v>
      </c>
      <c r="BH6" s="76">
        <f aca="true" t="shared" si="13" ref="BH6:BH16">AVERAGE(BJ6:BN6)</f>
        <v>1191665.8</v>
      </c>
      <c r="BI6" s="853">
        <f aca="true" t="shared" si="14" ref="BI6:BJ11">+Z6+AQ6</f>
        <v>1514750</v>
      </c>
      <c r="BJ6" s="853">
        <f t="shared" si="14"/>
        <v>1339990</v>
      </c>
      <c r="BK6" s="853">
        <f aca="true" t="shared" si="15" ref="BK6:BK17">+AA6+AS6</f>
        <v>1351435</v>
      </c>
      <c r="BL6" s="859">
        <f aca="true" t="shared" si="16" ref="BL6:BL17">+AB6+AT6</f>
        <v>1168516</v>
      </c>
      <c r="BM6" s="859">
        <f aca="true" t="shared" si="17" ref="BM6:BM17">+AC6+AU6</f>
        <v>1135091</v>
      </c>
      <c r="BN6" s="859">
        <f aca="true" t="shared" si="18" ref="BN6:BN17">+AD6+AV6</f>
        <v>963297</v>
      </c>
      <c r="BO6" s="859">
        <v>912622</v>
      </c>
      <c r="BP6" s="859">
        <v>953192</v>
      </c>
      <c r="BQ6" s="859">
        <v>925250</v>
      </c>
      <c r="BR6" s="859">
        <v>914483</v>
      </c>
      <c r="BS6" s="859">
        <v>845154</v>
      </c>
      <c r="BT6" s="859">
        <v>806729</v>
      </c>
      <c r="BU6" s="859">
        <v>768566</v>
      </c>
      <c r="BV6" s="859">
        <v>717940</v>
      </c>
      <c r="BW6" s="860">
        <v>597112</v>
      </c>
      <c r="BX6" s="170">
        <f t="shared" si="8"/>
        <v>0.5017152658662093</v>
      </c>
      <c r="BY6" s="37">
        <f t="shared" si="9"/>
        <v>0.7321198931645069</v>
      </c>
      <c r="BZ6" s="38">
        <f aca="true" t="shared" si="19" ref="BZ6:BZ16">AVERAGE(CB6:CF6)</f>
        <v>2021.8</v>
      </c>
      <c r="CA6" s="861">
        <v>3502</v>
      </c>
      <c r="CB6" s="861">
        <v>2332</v>
      </c>
      <c r="CC6" s="123">
        <v>2377</v>
      </c>
      <c r="CD6" s="123">
        <v>2335</v>
      </c>
      <c r="CE6" s="123">
        <v>2058</v>
      </c>
      <c r="CF6" s="123">
        <v>1007</v>
      </c>
      <c r="CG6" s="123">
        <v>1279</v>
      </c>
      <c r="CH6" s="123">
        <v>1806</v>
      </c>
      <c r="CI6" s="123">
        <v>1795</v>
      </c>
      <c r="CJ6" s="123">
        <v>1579</v>
      </c>
      <c r="CK6" s="123">
        <v>1009</v>
      </c>
      <c r="CL6" s="123">
        <v>1043</v>
      </c>
      <c r="CM6" s="123">
        <v>998</v>
      </c>
      <c r="CN6" s="123">
        <v>1147</v>
      </c>
      <c r="CO6" s="795">
        <v>1128</v>
      </c>
    </row>
    <row r="7" spans="1:93" s="749" customFormat="1" ht="12.75">
      <c r="A7" s="539" t="s">
        <v>15</v>
      </c>
      <c r="B7" s="585">
        <f t="shared" si="0"/>
        <v>-0.0906183254446126</v>
      </c>
      <c r="C7" s="586">
        <f t="shared" si="1"/>
        <v>0.04269193897530001</v>
      </c>
      <c r="D7" s="587">
        <f t="shared" si="10"/>
        <v>162517.8</v>
      </c>
      <c r="E7" s="1432">
        <v>169456</v>
      </c>
      <c r="F7" s="851">
        <v>186342</v>
      </c>
      <c r="G7" s="621">
        <v>172121</v>
      </c>
      <c r="H7" s="621">
        <v>162172</v>
      </c>
      <c r="I7" s="621">
        <v>152205</v>
      </c>
      <c r="J7" s="621">
        <v>139749</v>
      </c>
      <c r="K7" s="621">
        <v>116448</v>
      </c>
      <c r="L7" s="621">
        <v>120858</v>
      </c>
      <c r="M7" s="621">
        <v>118504</v>
      </c>
      <c r="N7" s="621">
        <v>111697</v>
      </c>
      <c r="O7" s="621">
        <v>117450</v>
      </c>
      <c r="P7" s="621">
        <v>111027</v>
      </c>
      <c r="Q7" s="621">
        <v>104232</v>
      </c>
      <c r="R7" s="621">
        <v>93339</v>
      </c>
      <c r="S7" s="621">
        <v>77469</v>
      </c>
      <c r="T7" s="621">
        <v>72713</v>
      </c>
      <c r="U7" s="621">
        <v>76264</v>
      </c>
      <c r="V7" s="1281">
        <v>74475</v>
      </c>
      <c r="W7" s="52">
        <f t="shared" si="2"/>
        <v>0.0030304798635554624</v>
      </c>
      <c r="X7" s="29">
        <f t="shared" si="3"/>
        <v>0.20005845653794477</v>
      </c>
      <c r="Y7" s="30">
        <f t="shared" si="11"/>
        <v>1260423.6</v>
      </c>
      <c r="Z7" s="1346">
        <v>1512582</v>
      </c>
      <c r="AA7" s="684">
        <v>1508012</v>
      </c>
      <c r="AB7" s="121">
        <v>1288197</v>
      </c>
      <c r="AC7" s="121">
        <v>1272282</v>
      </c>
      <c r="AD7" s="121">
        <v>1210107</v>
      </c>
      <c r="AE7" s="121">
        <v>1023520</v>
      </c>
      <c r="AF7" s="121">
        <v>1004236</v>
      </c>
      <c r="AG7" s="121">
        <v>1050119</v>
      </c>
      <c r="AH7" s="121">
        <v>965401</v>
      </c>
      <c r="AI7" s="121">
        <v>989659</v>
      </c>
      <c r="AJ7" s="121">
        <v>926686</v>
      </c>
      <c r="AK7" s="121">
        <v>829137</v>
      </c>
      <c r="AL7" s="121">
        <v>713432</v>
      </c>
      <c r="AM7" s="803">
        <v>621243</v>
      </c>
      <c r="AN7" s="55">
        <f t="shared" si="4"/>
        <v>0.009972521535089074</v>
      </c>
      <c r="AO7" s="32">
        <f t="shared" si="5"/>
        <v>-0.3280776925573389</v>
      </c>
      <c r="AP7" s="1290">
        <f t="shared" si="12"/>
        <v>48684.2</v>
      </c>
      <c r="AQ7" s="1307">
        <v>32712</v>
      </c>
      <c r="AR7" s="685">
        <v>32389</v>
      </c>
      <c r="AS7" s="736">
        <v>46509</v>
      </c>
      <c r="AT7" s="736">
        <v>46292</v>
      </c>
      <c r="AU7" s="858">
        <v>52265</v>
      </c>
      <c r="AV7" s="858">
        <v>65966</v>
      </c>
      <c r="AW7" s="858">
        <v>35124</v>
      </c>
      <c r="AX7" s="858">
        <v>41267</v>
      </c>
      <c r="AY7" s="858">
        <v>62729</v>
      </c>
      <c r="AZ7" s="858">
        <v>56629</v>
      </c>
      <c r="BA7" s="858">
        <v>63586</v>
      </c>
      <c r="BB7" s="858">
        <v>66124</v>
      </c>
      <c r="BC7" s="858">
        <v>56293</v>
      </c>
      <c r="BD7" s="858">
        <v>64373</v>
      </c>
      <c r="BE7" s="1300">
        <v>70782</v>
      </c>
      <c r="BF7" s="389">
        <f t="shared" si="6"/>
        <v>0.0031764456138369166</v>
      </c>
      <c r="BG7" s="390">
        <f t="shared" si="7"/>
        <v>0.09906627723263244</v>
      </c>
      <c r="BH7" s="76">
        <f>AVERAGE(BJ7:BN7)</f>
        <v>1406006.2</v>
      </c>
      <c r="BI7" s="853">
        <f>+Z7+AQ7</f>
        <v>1545294</v>
      </c>
      <c r="BJ7" s="853">
        <f t="shared" si="14"/>
        <v>1540401</v>
      </c>
      <c r="BK7" s="853">
        <f t="shared" si="15"/>
        <v>1554521</v>
      </c>
      <c r="BL7" s="859">
        <f t="shared" si="16"/>
        <v>1334489</v>
      </c>
      <c r="BM7" s="859">
        <f t="shared" si="17"/>
        <v>1324547</v>
      </c>
      <c r="BN7" s="859">
        <f t="shared" si="18"/>
        <v>1276073</v>
      </c>
      <c r="BO7" s="859">
        <v>1058644</v>
      </c>
      <c r="BP7" s="859">
        <v>1045503</v>
      </c>
      <c r="BQ7" s="859">
        <v>1112848</v>
      </c>
      <c r="BR7" s="859">
        <v>1022030</v>
      </c>
      <c r="BS7" s="859">
        <v>1053245</v>
      </c>
      <c r="BT7" s="859">
        <v>992810</v>
      </c>
      <c r="BU7" s="859">
        <v>885430</v>
      </c>
      <c r="BV7" s="859">
        <v>777805</v>
      </c>
      <c r="BW7" s="860">
        <v>692025</v>
      </c>
      <c r="BX7" s="170">
        <f t="shared" si="8"/>
        <v>-0.1039209435766656</v>
      </c>
      <c r="BY7" s="37">
        <f t="shared" si="9"/>
        <v>0.12448995919673565</v>
      </c>
      <c r="BZ7" s="38">
        <f t="shared" si="19"/>
        <v>2499.8</v>
      </c>
      <c r="CA7" s="861">
        <v>2811</v>
      </c>
      <c r="CB7" s="861">
        <v>3137</v>
      </c>
      <c r="CC7" s="123">
        <v>2664</v>
      </c>
      <c r="CD7" s="123">
        <v>2968</v>
      </c>
      <c r="CE7" s="123">
        <v>2273</v>
      </c>
      <c r="CF7" s="123">
        <v>1457</v>
      </c>
      <c r="CG7" s="123">
        <v>1666</v>
      </c>
      <c r="CH7" s="123">
        <v>1843</v>
      </c>
      <c r="CI7" s="123">
        <v>1753</v>
      </c>
      <c r="CJ7" s="123">
        <v>1853</v>
      </c>
      <c r="CK7" s="123">
        <v>1433</v>
      </c>
      <c r="CL7" s="123">
        <v>1295</v>
      </c>
      <c r="CM7" s="123">
        <v>1088</v>
      </c>
      <c r="CN7" s="123">
        <v>1405</v>
      </c>
      <c r="CO7" s="795">
        <v>1161</v>
      </c>
    </row>
    <row r="8" spans="1:93" s="749" customFormat="1" ht="12.75">
      <c r="A8" s="539" t="s">
        <v>16</v>
      </c>
      <c r="B8" s="585">
        <f t="shared" si="0"/>
        <v>0.0876576232327092</v>
      </c>
      <c r="C8" s="586">
        <f t="shared" si="1"/>
        <v>0.1820190205551304</v>
      </c>
      <c r="D8" s="587">
        <f t="shared" si="10"/>
        <v>156525.4</v>
      </c>
      <c r="E8" s="1432">
        <v>185016</v>
      </c>
      <c r="F8" s="851">
        <v>170105</v>
      </c>
      <c r="G8" s="621">
        <v>165431</v>
      </c>
      <c r="H8" s="621">
        <v>163805</v>
      </c>
      <c r="I8" s="621">
        <v>139616</v>
      </c>
      <c r="J8" s="621">
        <v>143670</v>
      </c>
      <c r="K8" s="621">
        <v>115057</v>
      </c>
      <c r="L8" s="621">
        <v>108063</v>
      </c>
      <c r="M8" s="621">
        <v>112279</v>
      </c>
      <c r="N8" s="621">
        <v>110601</v>
      </c>
      <c r="O8" s="621">
        <v>107289</v>
      </c>
      <c r="P8" s="621">
        <v>111476</v>
      </c>
      <c r="Q8" s="621">
        <v>93074</v>
      </c>
      <c r="R8" s="621">
        <v>99562</v>
      </c>
      <c r="S8" s="621">
        <v>75927</v>
      </c>
      <c r="T8" s="621">
        <v>68202</v>
      </c>
      <c r="U8" s="621">
        <v>72499</v>
      </c>
      <c r="V8" s="1281">
        <v>73326</v>
      </c>
      <c r="W8" s="52">
        <f t="shared" si="2"/>
        <v>0.1417834931937794</v>
      </c>
      <c r="X8" s="29">
        <f t="shared" si="3"/>
        <v>0.3297724481007843</v>
      </c>
      <c r="Y8" s="30">
        <f t="shared" si="11"/>
        <v>1215933.6</v>
      </c>
      <c r="Z8" s="1431">
        <v>1616915</v>
      </c>
      <c r="AA8" s="684">
        <v>1416131</v>
      </c>
      <c r="AB8" s="121">
        <v>1295513</v>
      </c>
      <c r="AC8" s="121">
        <v>1119581</v>
      </c>
      <c r="AD8" s="121">
        <v>1221955</v>
      </c>
      <c r="AE8" s="121">
        <v>1026488</v>
      </c>
      <c r="AF8" s="121">
        <v>951157</v>
      </c>
      <c r="AG8" s="121">
        <v>975672</v>
      </c>
      <c r="AH8" s="121">
        <v>961236</v>
      </c>
      <c r="AI8" s="121">
        <v>900668</v>
      </c>
      <c r="AJ8" s="121">
        <v>898020</v>
      </c>
      <c r="AK8" s="121">
        <v>711570</v>
      </c>
      <c r="AL8" s="121">
        <v>785024</v>
      </c>
      <c r="AM8" s="803">
        <v>593833</v>
      </c>
      <c r="AN8" s="55">
        <f t="shared" si="4"/>
        <v>0.03906954170422242</v>
      </c>
      <c r="AO8" s="32">
        <f t="shared" si="5"/>
        <v>-0.2702754026839102</v>
      </c>
      <c r="AP8" s="1290">
        <f t="shared" si="12"/>
        <v>41074.4</v>
      </c>
      <c r="AQ8" s="1430">
        <v>29973</v>
      </c>
      <c r="AR8" s="685">
        <v>28846</v>
      </c>
      <c r="AS8" s="736">
        <v>34835</v>
      </c>
      <c r="AT8" s="736">
        <v>45240</v>
      </c>
      <c r="AU8" s="858">
        <v>53601</v>
      </c>
      <c r="AV8" s="858">
        <v>42850</v>
      </c>
      <c r="AW8" s="858">
        <v>56837</v>
      </c>
      <c r="AX8" s="858">
        <v>32310</v>
      </c>
      <c r="AY8" s="858">
        <v>35155</v>
      </c>
      <c r="AZ8" s="858">
        <v>51739</v>
      </c>
      <c r="BA8" s="858">
        <v>51219</v>
      </c>
      <c r="BB8" s="858">
        <v>42056</v>
      </c>
      <c r="BC8" s="858">
        <v>65070</v>
      </c>
      <c r="BD8" s="858">
        <v>80301</v>
      </c>
      <c r="BE8" s="1300">
        <v>66126</v>
      </c>
      <c r="BF8" s="389">
        <f t="shared" si="6"/>
        <v>0.13973301997194418</v>
      </c>
      <c r="BG8" s="390">
        <f t="shared" si="7"/>
        <v>0.23368255840764265</v>
      </c>
      <c r="BH8" s="76">
        <f>AVERAGE(BJ8:BN8)</f>
        <v>1334936.6</v>
      </c>
      <c r="BI8" s="853">
        <f>+Z8+AQ8</f>
        <v>1646888</v>
      </c>
      <c r="BJ8" s="853">
        <f t="shared" si="14"/>
        <v>1444977</v>
      </c>
      <c r="BK8" s="853">
        <f t="shared" si="15"/>
        <v>1450966</v>
      </c>
      <c r="BL8" s="859">
        <f t="shared" si="16"/>
        <v>1340753</v>
      </c>
      <c r="BM8" s="859">
        <f t="shared" si="17"/>
        <v>1173182</v>
      </c>
      <c r="BN8" s="859">
        <f t="shared" si="18"/>
        <v>1264805</v>
      </c>
      <c r="BO8" s="859">
        <v>1083325</v>
      </c>
      <c r="BP8" s="859">
        <v>983467</v>
      </c>
      <c r="BQ8" s="859">
        <v>1010827</v>
      </c>
      <c r="BR8" s="859">
        <v>1012975</v>
      </c>
      <c r="BS8" s="859">
        <v>951887</v>
      </c>
      <c r="BT8" s="859">
        <v>940076</v>
      </c>
      <c r="BU8" s="859">
        <v>776640</v>
      </c>
      <c r="BV8" s="859">
        <v>865325</v>
      </c>
      <c r="BW8" s="860">
        <v>659959</v>
      </c>
      <c r="BX8" s="170">
        <f t="shared" si="8"/>
        <v>-0.07769652650822668</v>
      </c>
      <c r="BY8" s="37">
        <f t="shared" si="9"/>
        <v>0.12194217939214233</v>
      </c>
      <c r="BZ8" s="38">
        <f t="shared" si="19"/>
        <v>2698</v>
      </c>
      <c r="CA8" s="862">
        <v>3027</v>
      </c>
      <c r="CB8" s="862">
        <v>3282</v>
      </c>
      <c r="CC8" s="123">
        <v>2982</v>
      </c>
      <c r="CD8" s="123">
        <v>3062</v>
      </c>
      <c r="CE8" s="123">
        <v>2598</v>
      </c>
      <c r="CF8" s="123">
        <v>1566</v>
      </c>
      <c r="CG8" s="123">
        <v>2042</v>
      </c>
      <c r="CH8" s="123">
        <v>1438</v>
      </c>
      <c r="CI8" s="123">
        <v>1532</v>
      </c>
      <c r="CJ8" s="123">
        <v>1575</v>
      </c>
      <c r="CK8" s="123">
        <v>1352</v>
      </c>
      <c r="CL8" s="123">
        <v>1320</v>
      </c>
      <c r="CM8" s="123">
        <v>1345</v>
      </c>
      <c r="CN8" s="123">
        <v>1178</v>
      </c>
      <c r="CO8" s="795">
        <v>972</v>
      </c>
    </row>
    <row r="9" spans="1:93" s="749" customFormat="1" ht="12.75">
      <c r="A9" s="539" t="s">
        <v>17</v>
      </c>
      <c r="B9" s="585">
        <f t="shared" si="0"/>
        <v>0.016636641159467305</v>
      </c>
      <c r="C9" s="586">
        <f t="shared" si="1"/>
        <v>0.10152428270341451</v>
      </c>
      <c r="D9" s="587">
        <f t="shared" si="10"/>
        <v>159327.4</v>
      </c>
      <c r="E9" s="1540">
        <v>175503</v>
      </c>
      <c r="F9" s="851">
        <v>172631</v>
      </c>
      <c r="G9" s="621">
        <v>173313</v>
      </c>
      <c r="H9" s="621">
        <v>167148</v>
      </c>
      <c r="I9" s="621">
        <v>152928</v>
      </c>
      <c r="J9" s="621">
        <v>130617</v>
      </c>
      <c r="K9" s="621">
        <v>118223</v>
      </c>
      <c r="L9" s="621">
        <v>111712</v>
      </c>
      <c r="M9" s="621">
        <v>109296</v>
      </c>
      <c r="N9" s="621">
        <v>110647</v>
      </c>
      <c r="O9" s="621">
        <v>112338</v>
      </c>
      <c r="P9" s="621">
        <v>113283</v>
      </c>
      <c r="Q9" s="621">
        <v>98467</v>
      </c>
      <c r="R9" s="621">
        <v>97228</v>
      </c>
      <c r="S9" s="621">
        <v>73216</v>
      </c>
      <c r="T9" s="621">
        <v>68894</v>
      </c>
      <c r="U9" s="621">
        <v>76103</v>
      </c>
      <c r="V9" s="1281">
        <v>76201</v>
      </c>
      <c r="W9" s="52">
        <f t="shared" si="2"/>
        <v>0.021799242969500802</v>
      </c>
      <c r="X9" s="29">
        <f t="shared" si="3"/>
        <v>0.1957977894755419</v>
      </c>
      <c r="Y9" s="30">
        <f t="shared" si="11"/>
        <v>1246582</v>
      </c>
      <c r="Z9" s="684">
        <v>1490660</v>
      </c>
      <c r="AA9" s="684">
        <v>1458858</v>
      </c>
      <c r="AB9" s="121">
        <v>1352776</v>
      </c>
      <c r="AC9" s="121">
        <v>1249276</v>
      </c>
      <c r="AD9" s="121">
        <v>1115972</v>
      </c>
      <c r="AE9" s="121">
        <v>1056028</v>
      </c>
      <c r="AF9" s="121">
        <v>966631</v>
      </c>
      <c r="AG9" s="121">
        <v>942945</v>
      </c>
      <c r="AH9" s="121">
        <v>989937</v>
      </c>
      <c r="AI9" s="121">
        <v>936057</v>
      </c>
      <c r="AJ9" s="121">
        <v>925541</v>
      </c>
      <c r="AK9" s="121">
        <v>778386</v>
      </c>
      <c r="AL9" s="121">
        <v>746709</v>
      </c>
      <c r="AM9" s="803">
        <v>563084</v>
      </c>
      <c r="AN9" s="55">
        <f t="shared" si="4"/>
        <v>-0.27820061342724073</v>
      </c>
      <c r="AO9" s="32">
        <f t="shared" si="5"/>
        <v>-0.44524234632628024</v>
      </c>
      <c r="AP9" s="1290">
        <f t="shared" si="12"/>
        <v>45814.6</v>
      </c>
      <c r="AQ9" s="685">
        <v>25416</v>
      </c>
      <c r="AR9" s="685">
        <v>35212</v>
      </c>
      <c r="AS9" s="736">
        <v>45161</v>
      </c>
      <c r="AT9" s="736">
        <v>43285</v>
      </c>
      <c r="AU9" s="858">
        <v>50799</v>
      </c>
      <c r="AV9" s="858">
        <v>54616</v>
      </c>
      <c r="AW9" s="858">
        <v>47558</v>
      </c>
      <c r="AX9" s="858">
        <v>35102</v>
      </c>
      <c r="AY9" s="858">
        <v>58318</v>
      </c>
      <c r="AZ9" s="858">
        <v>38494</v>
      </c>
      <c r="BA9" s="858">
        <v>57899</v>
      </c>
      <c r="BB9" s="858">
        <v>60131</v>
      </c>
      <c r="BC9" s="858">
        <v>41706</v>
      </c>
      <c r="BD9" s="858">
        <v>68953</v>
      </c>
      <c r="BE9" s="1300">
        <v>84728</v>
      </c>
      <c r="BF9" s="389">
        <f t="shared" si="6"/>
        <v>0.01472889489782942</v>
      </c>
      <c r="BG9" s="390">
        <f t="shared" si="7"/>
        <v>0.10423692531755774</v>
      </c>
      <c r="BH9" s="76">
        <f>AVERAGE(BJ9:BN9)</f>
        <v>1372962.6</v>
      </c>
      <c r="BI9" s="853">
        <f>+Z9+AQ9</f>
        <v>1516076</v>
      </c>
      <c r="BJ9" s="853">
        <f t="shared" si="14"/>
        <v>1494070</v>
      </c>
      <c r="BK9" s="859">
        <f t="shared" si="15"/>
        <v>1504019</v>
      </c>
      <c r="BL9" s="373">
        <f t="shared" si="16"/>
        <v>1396061</v>
      </c>
      <c r="BM9" s="859">
        <f t="shared" si="17"/>
        <v>1300075</v>
      </c>
      <c r="BN9" s="859">
        <f t="shared" si="18"/>
        <v>1170588</v>
      </c>
      <c r="BO9" s="859">
        <v>1103586</v>
      </c>
      <c r="BP9" s="859">
        <v>1001733</v>
      </c>
      <c r="BQ9" s="859">
        <v>1001263</v>
      </c>
      <c r="BR9" s="859">
        <v>1028431</v>
      </c>
      <c r="BS9" s="859">
        <v>993956</v>
      </c>
      <c r="BT9" s="859">
        <v>985672</v>
      </c>
      <c r="BU9" s="859">
        <v>820092</v>
      </c>
      <c r="BV9" s="859">
        <v>815662</v>
      </c>
      <c r="BW9" s="860">
        <v>647812</v>
      </c>
      <c r="BX9" s="170">
        <f t="shared" si="8"/>
        <v>0.11046722202100688</v>
      </c>
      <c r="BY9" s="37">
        <f t="shared" si="9"/>
        <v>0.2185040934742867</v>
      </c>
      <c r="BZ9" s="38">
        <f t="shared" si="19"/>
        <v>2516.2</v>
      </c>
      <c r="CA9" s="862">
        <v>3066</v>
      </c>
      <c r="CB9" s="862">
        <v>2761</v>
      </c>
      <c r="CC9" s="123">
        <v>3352</v>
      </c>
      <c r="CD9" s="123">
        <v>2963</v>
      </c>
      <c r="CE9" s="123">
        <v>2417</v>
      </c>
      <c r="CF9" s="123">
        <v>1088</v>
      </c>
      <c r="CG9" s="123">
        <v>1436</v>
      </c>
      <c r="CH9" s="123">
        <v>1363</v>
      </c>
      <c r="CI9" s="123">
        <v>1443</v>
      </c>
      <c r="CJ9" s="123">
        <v>1599</v>
      </c>
      <c r="CK9" s="123">
        <v>1036</v>
      </c>
      <c r="CL9" s="123">
        <v>1067</v>
      </c>
      <c r="CM9" s="123">
        <v>1130</v>
      </c>
      <c r="CN9" s="123">
        <v>1133</v>
      </c>
      <c r="CO9" s="795">
        <v>1067</v>
      </c>
    </row>
    <row r="10" spans="1:93" s="749" customFormat="1" ht="12.75">
      <c r="A10" s="539" t="s">
        <v>18</v>
      </c>
      <c r="B10" s="585">
        <f t="shared" si="0"/>
        <v>-0.02143813934490236</v>
      </c>
      <c r="C10" s="586">
        <f t="shared" si="1"/>
        <v>0.04646965038882095</v>
      </c>
      <c r="D10" s="587">
        <f t="shared" si="10"/>
        <v>155675.8</v>
      </c>
      <c r="E10" s="1680">
        <v>162910</v>
      </c>
      <c r="F10" s="851">
        <v>166479</v>
      </c>
      <c r="G10" s="621">
        <v>167510</v>
      </c>
      <c r="H10" s="621">
        <v>156959</v>
      </c>
      <c r="I10" s="621">
        <v>149007</v>
      </c>
      <c r="J10" s="621">
        <v>138424</v>
      </c>
      <c r="K10" s="621">
        <v>112862</v>
      </c>
      <c r="L10" s="621">
        <v>106207</v>
      </c>
      <c r="M10" s="621">
        <v>107016</v>
      </c>
      <c r="N10" s="621">
        <v>107802</v>
      </c>
      <c r="O10" s="621">
        <v>105991</v>
      </c>
      <c r="P10" s="621">
        <v>106098</v>
      </c>
      <c r="Q10" s="621">
        <v>90911</v>
      </c>
      <c r="R10" s="621">
        <v>92362</v>
      </c>
      <c r="S10" s="621">
        <v>74049</v>
      </c>
      <c r="T10" s="621">
        <v>65112</v>
      </c>
      <c r="U10" s="621">
        <v>72452</v>
      </c>
      <c r="V10" s="1281">
        <v>78842</v>
      </c>
      <c r="W10" s="52">
        <f t="shared" si="2"/>
        <v>0.009676849269602624</v>
      </c>
      <c r="X10" s="29">
        <f t="shared" si="3"/>
        <v>0.17434785747517356</v>
      </c>
      <c r="Y10" s="30">
        <f t="shared" si="11"/>
        <v>1196793.6</v>
      </c>
      <c r="Z10" s="1346">
        <v>1405452</v>
      </c>
      <c r="AA10" s="684">
        <v>1391982</v>
      </c>
      <c r="AB10" s="121">
        <v>1276121</v>
      </c>
      <c r="AC10" s="121">
        <v>1189448</v>
      </c>
      <c r="AD10" s="121">
        <v>1149252</v>
      </c>
      <c r="AE10" s="121">
        <v>977165</v>
      </c>
      <c r="AF10" s="121">
        <v>896119</v>
      </c>
      <c r="AG10" s="121">
        <v>921609</v>
      </c>
      <c r="AH10" s="121">
        <v>941470</v>
      </c>
      <c r="AI10" s="121">
        <v>874808</v>
      </c>
      <c r="AJ10" s="121">
        <v>842998</v>
      </c>
      <c r="AK10" s="121">
        <v>734088</v>
      </c>
      <c r="AL10" s="121">
        <v>696670</v>
      </c>
      <c r="AM10" s="803">
        <v>573614</v>
      </c>
      <c r="AN10" s="55">
        <f t="shared" si="4"/>
        <v>0.2525617182656894</v>
      </c>
      <c r="AO10" s="32">
        <f t="shared" si="5"/>
        <v>-0.3104382809237787</v>
      </c>
      <c r="AP10" s="1290">
        <f t="shared" si="12"/>
        <v>49812.8</v>
      </c>
      <c r="AQ10" s="1307">
        <v>34349</v>
      </c>
      <c r="AR10" s="685">
        <v>27423</v>
      </c>
      <c r="AS10" s="736">
        <v>40975</v>
      </c>
      <c r="AT10" s="736">
        <v>63622</v>
      </c>
      <c r="AU10" s="858">
        <v>58407</v>
      </c>
      <c r="AV10" s="858">
        <v>58637</v>
      </c>
      <c r="AW10" s="858">
        <v>49491</v>
      </c>
      <c r="AX10" s="858">
        <v>35112</v>
      </c>
      <c r="AY10" s="858">
        <v>59562</v>
      </c>
      <c r="AZ10" s="858">
        <v>57321</v>
      </c>
      <c r="BA10" s="858">
        <v>52547</v>
      </c>
      <c r="BB10" s="858">
        <v>35663</v>
      </c>
      <c r="BC10" s="858">
        <v>44564</v>
      </c>
      <c r="BD10" s="858">
        <v>52167</v>
      </c>
      <c r="BE10" s="1300">
        <v>54972</v>
      </c>
      <c r="BF10" s="389">
        <f t="shared" si="6"/>
        <v>0.014369401263205357</v>
      </c>
      <c r="BG10" s="390">
        <f t="shared" si="7"/>
        <v>0.08290741862518233</v>
      </c>
      <c r="BH10" s="76">
        <f>AVERAGE(BJ10:BN10)</f>
        <v>1329569.8</v>
      </c>
      <c r="BI10" s="853">
        <f>+Z10+AQ10</f>
        <v>1439801</v>
      </c>
      <c r="BJ10" s="853">
        <f t="shared" si="14"/>
        <v>1419405</v>
      </c>
      <c r="BK10" s="859">
        <f t="shared" si="15"/>
        <v>1432957</v>
      </c>
      <c r="BL10" s="373">
        <f t="shared" si="16"/>
        <v>1339743</v>
      </c>
      <c r="BM10" s="859">
        <f t="shared" si="17"/>
        <v>1247855</v>
      </c>
      <c r="BN10" s="859">
        <f t="shared" si="18"/>
        <v>1207889</v>
      </c>
      <c r="BO10" s="859">
        <v>1026656</v>
      </c>
      <c r="BP10" s="859">
        <v>931231</v>
      </c>
      <c r="BQ10" s="859">
        <v>981171</v>
      </c>
      <c r="BR10" s="859">
        <v>998791</v>
      </c>
      <c r="BS10" s="859">
        <v>927355</v>
      </c>
      <c r="BT10" s="859">
        <v>878661</v>
      </c>
      <c r="BU10" s="859">
        <v>778652</v>
      </c>
      <c r="BV10" s="859">
        <v>748837</v>
      </c>
      <c r="BW10" s="860">
        <v>628586</v>
      </c>
      <c r="BX10" s="170">
        <f t="shared" si="8"/>
        <v>0.18533772652388797</v>
      </c>
      <c r="BY10" s="37">
        <f t="shared" si="9"/>
        <v>0.18387494858083092</v>
      </c>
      <c r="BZ10" s="38">
        <f t="shared" si="19"/>
        <v>2431</v>
      </c>
      <c r="CA10" s="863">
        <v>2878</v>
      </c>
      <c r="CB10" s="863">
        <v>2428</v>
      </c>
      <c r="CC10" s="123">
        <v>2969</v>
      </c>
      <c r="CD10" s="123">
        <v>3249</v>
      </c>
      <c r="CE10" s="123">
        <v>2629</v>
      </c>
      <c r="CF10" s="123">
        <v>880</v>
      </c>
      <c r="CG10" s="123">
        <v>1008</v>
      </c>
      <c r="CH10" s="123">
        <v>1269</v>
      </c>
      <c r="CI10" s="123">
        <v>1481</v>
      </c>
      <c r="CJ10" s="123">
        <v>1683</v>
      </c>
      <c r="CK10" s="123">
        <v>1379</v>
      </c>
      <c r="CL10" s="123">
        <v>1142</v>
      </c>
      <c r="CM10" s="123">
        <v>1216</v>
      </c>
      <c r="CN10" s="123">
        <v>1001</v>
      </c>
      <c r="CO10" s="795">
        <v>1131</v>
      </c>
    </row>
    <row r="11" spans="1:93" s="749" customFormat="1" ht="12.75">
      <c r="A11" s="539" t="s">
        <v>19</v>
      </c>
      <c r="B11" s="585">
        <f>SUM(E11-F11)/F11</f>
        <v>-0.0028995365353132424</v>
      </c>
      <c r="C11" s="586">
        <f>SUM(E11-D11)/D11</f>
        <v>0.09559237095327622</v>
      </c>
      <c r="D11" s="587">
        <f t="shared" si="10"/>
        <v>157880.8</v>
      </c>
      <c r="E11" s="1766">
        <v>172973</v>
      </c>
      <c r="F11" s="851">
        <v>173476</v>
      </c>
      <c r="G11" s="621">
        <v>158911</v>
      </c>
      <c r="H11" s="621">
        <v>164085</v>
      </c>
      <c r="I11" s="621">
        <v>151212</v>
      </c>
      <c r="J11" s="621">
        <v>141720</v>
      </c>
      <c r="K11" s="621">
        <v>125305</v>
      </c>
      <c r="L11" s="621">
        <v>108100</v>
      </c>
      <c r="M11" s="621">
        <v>121594</v>
      </c>
      <c r="N11" s="621">
        <v>114440</v>
      </c>
      <c r="O11" s="621">
        <v>106770</v>
      </c>
      <c r="P11" s="621">
        <v>102952</v>
      </c>
      <c r="Q11" s="621">
        <v>85860</v>
      </c>
      <c r="R11" s="621">
        <v>89073</v>
      </c>
      <c r="S11" s="621">
        <v>73375</v>
      </c>
      <c r="T11" s="621">
        <v>64463</v>
      </c>
      <c r="U11" s="621">
        <v>72525</v>
      </c>
      <c r="V11" s="1281">
        <v>73166</v>
      </c>
      <c r="W11" s="52">
        <f t="shared" si="2"/>
        <v>0.03741923184974114</v>
      </c>
      <c r="X11" s="29">
        <f t="shared" si="3"/>
        <v>0.19882052951119306</v>
      </c>
      <c r="Y11" s="30">
        <f t="shared" si="11"/>
        <v>1207491</v>
      </c>
      <c r="Z11" s="684">
        <v>1447565</v>
      </c>
      <c r="AA11" s="684">
        <v>1395352</v>
      </c>
      <c r="AB11" s="121">
        <v>1275340</v>
      </c>
      <c r="AC11" s="121">
        <v>1168543</v>
      </c>
      <c r="AD11" s="121">
        <v>1131652</v>
      </c>
      <c r="AE11" s="121">
        <v>1066568</v>
      </c>
      <c r="AF11" s="121">
        <v>897526</v>
      </c>
      <c r="AG11" s="121">
        <v>1016356</v>
      </c>
      <c r="AH11" s="121">
        <v>967278</v>
      </c>
      <c r="AI11" s="121">
        <v>864891</v>
      </c>
      <c r="AJ11" s="121">
        <v>835627</v>
      </c>
      <c r="AK11" s="121">
        <v>699234</v>
      </c>
      <c r="AL11" s="121">
        <v>684415</v>
      </c>
      <c r="AM11" s="803">
        <v>564585</v>
      </c>
      <c r="AN11" s="55">
        <f>SUM(AQ11-AR11)/AR11</f>
        <v>0.07199243333697115</v>
      </c>
      <c r="AO11" s="32">
        <f>SUM(AQ11-AP11)/AP11</f>
        <v>-0.2956844299126178</v>
      </c>
      <c r="AP11" s="1290">
        <f t="shared" si="12"/>
        <v>41839.2</v>
      </c>
      <c r="AQ11" s="685">
        <v>29468</v>
      </c>
      <c r="AR11" s="838">
        <v>27489</v>
      </c>
      <c r="AS11" s="736">
        <v>46119</v>
      </c>
      <c r="AT11" s="736">
        <v>34737</v>
      </c>
      <c r="AU11" s="858">
        <v>50714</v>
      </c>
      <c r="AV11" s="858">
        <v>50137</v>
      </c>
      <c r="AW11" s="858">
        <v>50884</v>
      </c>
      <c r="AX11" s="858">
        <v>31642</v>
      </c>
      <c r="AY11" s="858">
        <v>54642</v>
      </c>
      <c r="AZ11" s="858">
        <v>45508</v>
      </c>
      <c r="BA11" s="858">
        <v>54811</v>
      </c>
      <c r="BB11" s="858">
        <v>51240</v>
      </c>
      <c r="BC11" s="858">
        <v>45752</v>
      </c>
      <c r="BD11" s="858">
        <v>58718</v>
      </c>
      <c r="BE11" s="1300">
        <v>53860</v>
      </c>
      <c r="BF11" s="389"/>
      <c r="BG11" s="390"/>
      <c r="BH11" s="76">
        <f t="shared" si="13"/>
        <v>1315087</v>
      </c>
      <c r="BI11" s="853"/>
      <c r="BJ11" s="853">
        <f t="shared" si="14"/>
        <v>1422841</v>
      </c>
      <c r="BK11" s="859">
        <f t="shared" si="15"/>
        <v>1441471</v>
      </c>
      <c r="BL11" s="373">
        <f t="shared" si="16"/>
        <v>1310077</v>
      </c>
      <c r="BM11" s="859">
        <f t="shared" si="17"/>
        <v>1219257</v>
      </c>
      <c r="BN11" s="859">
        <f t="shared" si="18"/>
        <v>1181789</v>
      </c>
      <c r="BO11" s="859">
        <v>1117452</v>
      </c>
      <c r="BP11" s="859">
        <v>929168</v>
      </c>
      <c r="BQ11" s="859">
        <v>1070998</v>
      </c>
      <c r="BR11" s="859">
        <v>1012786</v>
      </c>
      <c r="BS11" s="859">
        <v>919702</v>
      </c>
      <c r="BT11" s="859">
        <v>886867</v>
      </c>
      <c r="BU11" s="859">
        <v>744986</v>
      </c>
      <c r="BV11" s="859">
        <v>743133</v>
      </c>
      <c r="BW11" s="860">
        <v>618445</v>
      </c>
      <c r="BX11" s="170">
        <f t="shared" si="8"/>
        <v>-0.3766778523489933</v>
      </c>
      <c r="BY11" s="37">
        <f t="shared" si="9"/>
        <v>-0.09434422233057038</v>
      </c>
      <c r="BZ11" s="38">
        <f t="shared" si="19"/>
        <v>2461.2</v>
      </c>
      <c r="CA11" s="686">
        <v>2229</v>
      </c>
      <c r="CB11" s="686">
        <v>3576</v>
      </c>
      <c r="CC11" s="123">
        <v>2533</v>
      </c>
      <c r="CD11" s="123">
        <v>3058</v>
      </c>
      <c r="CE11" s="123">
        <v>2141</v>
      </c>
      <c r="CF11" s="123">
        <v>998</v>
      </c>
      <c r="CG11" s="123">
        <v>1053</v>
      </c>
      <c r="CH11" s="123">
        <v>1298</v>
      </c>
      <c r="CI11" s="123">
        <v>1301</v>
      </c>
      <c r="CJ11" s="123">
        <v>1360</v>
      </c>
      <c r="CK11" s="123">
        <v>1403</v>
      </c>
      <c r="CL11" s="123">
        <v>1190</v>
      </c>
      <c r="CM11" s="123">
        <v>1344</v>
      </c>
      <c r="CN11" s="123">
        <v>981</v>
      </c>
      <c r="CO11" s="795">
        <v>896</v>
      </c>
    </row>
    <row r="12" spans="1:93" s="749" customFormat="1" ht="12.75">
      <c r="A12" s="539" t="s">
        <v>20</v>
      </c>
      <c r="B12" s="585"/>
      <c r="C12" s="586"/>
      <c r="D12" s="587">
        <f t="shared" si="10"/>
        <v>171155.4</v>
      </c>
      <c r="E12" s="851"/>
      <c r="F12" s="851">
        <v>192906</v>
      </c>
      <c r="G12" s="621">
        <v>176321</v>
      </c>
      <c r="H12" s="621">
        <v>172838</v>
      </c>
      <c r="I12" s="621">
        <v>168103</v>
      </c>
      <c r="J12" s="621">
        <v>145609</v>
      </c>
      <c r="K12" s="621">
        <v>124468</v>
      </c>
      <c r="L12" s="621">
        <v>108548</v>
      </c>
      <c r="M12" s="621">
        <v>113888</v>
      </c>
      <c r="N12" s="621">
        <v>110921</v>
      </c>
      <c r="O12" s="621">
        <v>104425</v>
      </c>
      <c r="P12" s="621">
        <v>108127</v>
      </c>
      <c r="Q12" s="621">
        <v>103200</v>
      </c>
      <c r="R12" s="621">
        <v>86378</v>
      </c>
      <c r="S12" s="621">
        <v>73545</v>
      </c>
      <c r="T12" s="621">
        <v>58480</v>
      </c>
      <c r="U12" s="621">
        <v>66101</v>
      </c>
      <c r="V12" s="1281">
        <v>74109</v>
      </c>
      <c r="W12" s="52"/>
      <c r="X12" s="29"/>
      <c r="Y12" s="30">
        <f t="shared" si="11"/>
        <v>1252137.2</v>
      </c>
      <c r="Z12" s="684"/>
      <c r="AA12" s="684">
        <v>1511916</v>
      </c>
      <c r="AB12" s="121">
        <v>1350650</v>
      </c>
      <c r="AC12" s="121">
        <v>1255967</v>
      </c>
      <c r="AD12" s="121">
        <v>1132718</v>
      </c>
      <c r="AE12" s="121">
        <v>1009435</v>
      </c>
      <c r="AF12" s="121">
        <v>912663</v>
      </c>
      <c r="AG12" s="121">
        <v>917130</v>
      </c>
      <c r="AH12" s="121">
        <v>924346</v>
      </c>
      <c r="AI12" s="121">
        <v>866883</v>
      </c>
      <c r="AJ12" s="121">
        <v>878754</v>
      </c>
      <c r="AK12" s="121">
        <v>787217</v>
      </c>
      <c r="AL12" s="121">
        <v>665171</v>
      </c>
      <c r="AM12" s="803">
        <v>565030</v>
      </c>
      <c r="AN12" s="55"/>
      <c r="AO12" s="32"/>
      <c r="AP12" s="1290">
        <f t="shared" si="12"/>
        <v>38550.2</v>
      </c>
      <c r="AQ12" s="838"/>
      <c r="AR12" s="685">
        <v>27363</v>
      </c>
      <c r="AS12" s="736">
        <v>34254</v>
      </c>
      <c r="AT12" s="736">
        <v>25135</v>
      </c>
      <c r="AU12" s="858">
        <v>51453</v>
      </c>
      <c r="AV12" s="858">
        <v>54546</v>
      </c>
      <c r="AW12" s="858">
        <v>56211</v>
      </c>
      <c r="AX12" s="858">
        <v>38165</v>
      </c>
      <c r="AY12" s="858">
        <v>42631</v>
      </c>
      <c r="AZ12" s="858">
        <v>74086</v>
      </c>
      <c r="BA12" s="858">
        <v>50876</v>
      </c>
      <c r="BB12" s="858">
        <v>53679</v>
      </c>
      <c r="BC12" s="858">
        <v>51099</v>
      </c>
      <c r="BD12" s="858">
        <v>53397</v>
      </c>
      <c r="BE12" s="1300">
        <v>88413</v>
      </c>
      <c r="BF12" s="389"/>
      <c r="BG12" s="390"/>
      <c r="BH12" s="76">
        <f t="shared" si="13"/>
        <v>1391183.6</v>
      </c>
      <c r="BI12" s="853"/>
      <c r="BJ12" s="853">
        <f aca="true" t="shared" si="20" ref="BI12:BJ17">+AA12+AR12</f>
        <v>1539279</v>
      </c>
      <c r="BK12" s="859">
        <f t="shared" si="15"/>
        <v>1546170</v>
      </c>
      <c r="BL12" s="373">
        <f t="shared" si="16"/>
        <v>1375785</v>
      </c>
      <c r="BM12" s="859">
        <f t="shared" si="17"/>
        <v>1307420</v>
      </c>
      <c r="BN12" s="859">
        <f t="shared" si="18"/>
        <v>1187264</v>
      </c>
      <c r="BO12" s="859">
        <v>1065646</v>
      </c>
      <c r="BP12" s="859">
        <v>950828</v>
      </c>
      <c r="BQ12" s="859">
        <v>959761</v>
      </c>
      <c r="BR12" s="859">
        <v>998432</v>
      </c>
      <c r="BS12" s="859">
        <v>917759</v>
      </c>
      <c r="BT12" s="859">
        <v>932433</v>
      </c>
      <c r="BU12" s="859">
        <v>838316</v>
      </c>
      <c r="BV12" s="859">
        <v>718568</v>
      </c>
      <c r="BW12" s="860">
        <v>653443</v>
      </c>
      <c r="BX12" s="170"/>
      <c r="BY12" s="37"/>
      <c r="BZ12" s="38">
        <f t="shared" si="19"/>
        <v>2761.4</v>
      </c>
      <c r="CA12" s="686"/>
      <c r="CB12" s="686">
        <v>3700</v>
      </c>
      <c r="CC12" s="123">
        <v>2906</v>
      </c>
      <c r="CD12" s="123">
        <v>3700</v>
      </c>
      <c r="CE12" s="123">
        <v>2448</v>
      </c>
      <c r="CF12" s="123">
        <v>1053</v>
      </c>
      <c r="CG12" s="123">
        <v>1235</v>
      </c>
      <c r="CH12" s="123">
        <v>1646</v>
      </c>
      <c r="CI12" s="123">
        <v>1697</v>
      </c>
      <c r="CJ12" s="123">
        <v>1772</v>
      </c>
      <c r="CK12" s="123">
        <v>998</v>
      </c>
      <c r="CL12" s="123">
        <v>1283</v>
      </c>
      <c r="CM12" s="123">
        <v>1260</v>
      </c>
      <c r="CN12" s="123">
        <v>1497</v>
      </c>
      <c r="CO12" s="795">
        <v>1171</v>
      </c>
    </row>
    <row r="13" spans="1:93" s="749" customFormat="1" ht="12.75">
      <c r="A13" s="539" t="s">
        <v>21</v>
      </c>
      <c r="B13" s="585"/>
      <c r="C13" s="586"/>
      <c r="D13" s="587">
        <f t="shared" si="10"/>
        <v>160336.4</v>
      </c>
      <c r="E13" s="851"/>
      <c r="F13" s="851">
        <v>177879</v>
      </c>
      <c r="G13" s="621">
        <v>165637</v>
      </c>
      <c r="H13" s="621">
        <v>170620</v>
      </c>
      <c r="I13" s="621">
        <v>154399</v>
      </c>
      <c r="J13" s="621">
        <v>133147</v>
      </c>
      <c r="K13" s="621">
        <v>125702</v>
      </c>
      <c r="L13" s="621">
        <v>106798</v>
      </c>
      <c r="M13" s="621">
        <v>113845</v>
      </c>
      <c r="N13" s="621">
        <v>103539</v>
      </c>
      <c r="O13" s="621">
        <v>98396</v>
      </c>
      <c r="P13" s="621">
        <v>95851</v>
      </c>
      <c r="Q13" s="621">
        <v>92543</v>
      </c>
      <c r="R13" s="621">
        <v>83430</v>
      </c>
      <c r="S13" s="621">
        <v>74844</v>
      </c>
      <c r="T13" s="621">
        <v>64653</v>
      </c>
      <c r="U13" s="621">
        <v>67725</v>
      </c>
      <c r="V13" s="1281">
        <v>67247</v>
      </c>
      <c r="W13" s="52"/>
      <c r="X13" s="29"/>
      <c r="Y13" s="30">
        <f t="shared" si="11"/>
        <v>1175429.8</v>
      </c>
      <c r="Z13" s="684"/>
      <c r="AA13" s="684">
        <v>1409257</v>
      </c>
      <c r="AB13" s="121">
        <v>1277988</v>
      </c>
      <c r="AC13" s="121">
        <v>1182492</v>
      </c>
      <c r="AD13" s="121">
        <v>1007974</v>
      </c>
      <c r="AE13" s="121">
        <v>999438</v>
      </c>
      <c r="AF13" s="121">
        <v>901566</v>
      </c>
      <c r="AG13" s="121">
        <v>927732</v>
      </c>
      <c r="AH13" s="121">
        <v>857689</v>
      </c>
      <c r="AI13" s="121">
        <v>812870</v>
      </c>
      <c r="AJ13" s="121">
        <v>779232</v>
      </c>
      <c r="AK13" s="121">
        <v>741090</v>
      </c>
      <c r="AL13" s="121">
        <v>633971</v>
      </c>
      <c r="AM13" s="803">
        <v>547599</v>
      </c>
      <c r="AN13" s="55"/>
      <c r="AO13" s="32"/>
      <c r="AP13" s="1290">
        <f t="shared" si="12"/>
        <v>40310</v>
      </c>
      <c r="AQ13" s="838"/>
      <c r="AR13" s="838">
        <v>35528</v>
      </c>
      <c r="AS13" s="736">
        <v>36223</v>
      </c>
      <c r="AT13" s="736">
        <v>46886</v>
      </c>
      <c r="AU13" s="858">
        <v>30877</v>
      </c>
      <c r="AV13" s="858">
        <v>52036</v>
      </c>
      <c r="AW13" s="858">
        <v>58097</v>
      </c>
      <c r="AX13" s="858">
        <v>42383</v>
      </c>
      <c r="AY13" s="858">
        <v>54935</v>
      </c>
      <c r="AZ13" s="858">
        <v>37949</v>
      </c>
      <c r="BA13" s="858">
        <v>77769</v>
      </c>
      <c r="BB13" s="858">
        <v>61511</v>
      </c>
      <c r="BC13" s="858">
        <v>48633</v>
      </c>
      <c r="BD13" s="858">
        <v>49477</v>
      </c>
      <c r="BE13" s="1300">
        <v>84399</v>
      </c>
      <c r="BF13" s="389"/>
      <c r="BG13" s="390"/>
      <c r="BH13" s="76">
        <f t="shared" si="13"/>
        <v>1297703.6</v>
      </c>
      <c r="BI13" s="853"/>
      <c r="BJ13" s="853">
        <f t="shared" si="20"/>
        <v>1444785</v>
      </c>
      <c r="BK13" s="859">
        <f t="shared" si="15"/>
        <v>1445480</v>
      </c>
      <c r="BL13" s="373">
        <f t="shared" si="16"/>
        <v>1324874</v>
      </c>
      <c r="BM13" s="859">
        <f t="shared" si="17"/>
        <v>1213369</v>
      </c>
      <c r="BN13" s="859">
        <f t="shared" si="18"/>
        <v>1060010</v>
      </c>
      <c r="BO13" s="859">
        <v>1057535</v>
      </c>
      <c r="BP13" s="859">
        <v>943949</v>
      </c>
      <c r="BQ13" s="859">
        <v>982667</v>
      </c>
      <c r="BR13" s="859">
        <v>895638</v>
      </c>
      <c r="BS13" s="859">
        <v>890639</v>
      </c>
      <c r="BT13" s="859">
        <v>840743</v>
      </c>
      <c r="BU13" s="859">
        <v>789723</v>
      </c>
      <c r="BV13" s="859">
        <v>683448</v>
      </c>
      <c r="BW13" s="860">
        <v>631998</v>
      </c>
      <c r="BX13" s="170"/>
      <c r="BY13" s="37"/>
      <c r="BZ13" s="38">
        <f t="shared" si="19"/>
        <v>2648.6</v>
      </c>
      <c r="CA13" s="123"/>
      <c r="CB13" s="123">
        <v>3152</v>
      </c>
      <c r="CC13" s="123">
        <v>2616</v>
      </c>
      <c r="CD13" s="123">
        <v>3739</v>
      </c>
      <c r="CE13" s="123">
        <v>2427</v>
      </c>
      <c r="CF13" s="123">
        <v>1309</v>
      </c>
      <c r="CG13" s="123">
        <v>1307</v>
      </c>
      <c r="CH13" s="123">
        <v>1678</v>
      </c>
      <c r="CI13" s="123">
        <v>1866</v>
      </c>
      <c r="CJ13" s="123">
        <v>1490</v>
      </c>
      <c r="CK13" s="123">
        <v>1196</v>
      </c>
      <c r="CL13" s="123">
        <v>1258</v>
      </c>
      <c r="CM13" s="123">
        <v>1229</v>
      </c>
      <c r="CN13" s="123">
        <v>1333</v>
      </c>
      <c r="CO13" s="795">
        <v>1165</v>
      </c>
    </row>
    <row r="14" spans="1:93" s="749" customFormat="1" ht="12.75">
      <c r="A14" s="539" t="s">
        <v>22</v>
      </c>
      <c r="B14" s="585"/>
      <c r="C14" s="586"/>
      <c r="D14" s="587">
        <f t="shared" si="10"/>
        <v>180701.2</v>
      </c>
      <c r="E14" s="851"/>
      <c r="F14" s="851">
        <v>199448</v>
      </c>
      <c r="G14" s="864">
        <v>190755</v>
      </c>
      <c r="H14" s="864">
        <v>188539</v>
      </c>
      <c r="I14" s="621">
        <v>166194</v>
      </c>
      <c r="J14" s="621">
        <v>158570</v>
      </c>
      <c r="K14" s="621">
        <v>142561</v>
      </c>
      <c r="L14" s="621">
        <v>113434</v>
      </c>
      <c r="M14" s="621">
        <v>116913</v>
      </c>
      <c r="N14" s="621">
        <v>117501</v>
      </c>
      <c r="O14" s="621">
        <v>107807</v>
      </c>
      <c r="P14" s="621">
        <v>105427</v>
      </c>
      <c r="Q14" s="621">
        <v>101125</v>
      </c>
      <c r="R14" s="621">
        <v>92452</v>
      </c>
      <c r="S14" s="621">
        <v>83352</v>
      </c>
      <c r="T14" s="621">
        <v>67904</v>
      </c>
      <c r="U14" s="621">
        <v>76252</v>
      </c>
      <c r="V14" s="1281">
        <v>71783</v>
      </c>
      <c r="W14" s="52"/>
      <c r="X14" s="29"/>
      <c r="Y14" s="30">
        <f t="shared" si="11"/>
        <v>1325195.8</v>
      </c>
      <c r="Z14" s="684"/>
      <c r="AA14" s="684">
        <v>1591754</v>
      </c>
      <c r="AB14" s="121">
        <v>1379531</v>
      </c>
      <c r="AC14" s="121">
        <v>1256041</v>
      </c>
      <c r="AD14" s="121">
        <v>1201556</v>
      </c>
      <c r="AE14" s="121">
        <v>1197097</v>
      </c>
      <c r="AF14" s="121">
        <v>958248</v>
      </c>
      <c r="AG14" s="121">
        <v>973454</v>
      </c>
      <c r="AH14" s="121">
        <v>1009973</v>
      </c>
      <c r="AI14" s="121">
        <v>903246</v>
      </c>
      <c r="AJ14" s="121">
        <v>872742</v>
      </c>
      <c r="AK14" s="121">
        <v>800880</v>
      </c>
      <c r="AL14" s="121">
        <v>698898</v>
      </c>
      <c r="AM14" s="803">
        <v>651687</v>
      </c>
      <c r="AN14" s="55"/>
      <c r="AO14" s="32"/>
      <c r="AP14" s="1290">
        <f t="shared" si="12"/>
        <v>44675.2</v>
      </c>
      <c r="AQ14" s="838"/>
      <c r="AR14" s="838">
        <v>32327</v>
      </c>
      <c r="AS14" s="736">
        <v>33377</v>
      </c>
      <c r="AT14" s="736">
        <v>34994</v>
      </c>
      <c r="AU14" s="858">
        <v>54189</v>
      </c>
      <c r="AV14" s="858">
        <v>68489</v>
      </c>
      <c r="AW14" s="858">
        <v>57919</v>
      </c>
      <c r="AX14" s="858">
        <v>33113</v>
      </c>
      <c r="AY14" s="858">
        <v>42962</v>
      </c>
      <c r="AZ14" s="858">
        <v>65872</v>
      </c>
      <c r="BA14" s="858">
        <v>73765</v>
      </c>
      <c r="BB14" s="858">
        <v>59842</v>
      </c>
      <c r="BC14" s="858">
        <v>50487</v>
      </c>
      <c r="BD14" s="858">
        <v>51344</v>
      </c>
      <c r="BE14" s="1300">
        <v>69471</v>
      </c>
      <c r="BF14" s="389"/>
      <c r="BG14" s="390"/>
      <c r="BH14" s="76">
        <f t="shared" si="13"/>
        <v>1448802.4</v>
      </c>
      <c r="BI14" s="853"/>
      <c r="BJ14" s="853">
        <f t="shared" si="20"/>
        <v>1624081</v>
      </c>
      <c r="BK14" s="859">
        <f t="shared" si="15"/>
        <v>1625131</v>
      </c>
      <c r="BL14" s="373">
        <f t="shared" si="16"/>
        <v>1414525</v>
      </c>
      <c r="BM14" s="859">
        <f t="shared" si="17"/>
        <v>1310230</v>
      </c>
      <c r="BN14" s="859">
        <f t="shared" si="18"/>
        <v>1270045</v>
      </c>
      <c r="BO14" s="859">
        <v>1255016</v>
      </c>
      <c r="BP14" s="859">
        <v>991361</v>
      </c>
      <c r="BQ14" s="859">
        <v>1016416</v>
      </c>
      <c r="BR14" s="859">
        <v>1075845</v>
      </c>
      <c r="BS14" s="859">
        <v>977011</v>
      </c>
      <c r="BT14" s="859">
        <v>932584</v>
      </c>
      <c r="BU14" s="859">
        <v>851367</v>
      </c>
      <c r="BV14" s="859">
        <v>750242</v>
      </c>
      <c r="BW14" s="860">
        <v>721158</v>
      </c>
      <c r="BX14" s="170"/>
      <c r="BY14" s="37"/>
      <c r="BZ14" s="38">
        <f t="shared" si="19"/>
        <v>2721.8</v>
      </c>
      <c r="CA14" s="123"/>
      <c r="CB14" s="123">
        <v>3180</v>
      </c>
      <c r="CC14" s="123">
        <v>2902</v>
      </c>
      <c r="CD14" s="123">
        <v>3341</v>
      </c>
      <c r="CE14" s="123">
        <v>2595</v>
      </c>
      <c r="CF14" s="123">
        <v>1591</v>
      </c>
      <c r="CG14" s="123">
        <v>1228</v>
      </c>
      <c r="CH14" s="123">
        <v>1705</v>
      </c>
      <c r="CI14" s="123">
        <v>1398</v>
      </c>
      <c r="CJ14" s="123">
        <v>1655</v>
      </c>
      <c r="CK14" s="123" t="s">
        <v>40</v>
      </c>
      <c r="CL14" s="123">
        <v>1344</v>
      </c>
      <c r="CM14" s="123">
        <v>1264</v>
      </c>
      <c r="CN14" s="123">
        <v>1675</v>
      </c>
      <c r="CO14" s="795">
        <v>1022</v>
      </c>
    </row>
    <row r="15" spans="1:93" s="749" customFormat="1" ht="12.75">
      <c r="A15" s="539" t="s">
        <v>23</v>
      </c>
      <c r="B15" s="585"/>
      <c r="C15" s="586"/>
      <c r="D15" s="587">
        <f t="shared" si="10"/>
        <v>166258.6</v>
      </c>
      <c r="E15" s="851"/>
      <c r="F15" s="851">
        <v>189036</v>
      </c>
      <c r="G15" s="621">
        <v>172531</v>
      </c>
      <c r="H15" s="621">
        <v>177712</v>
      </c>
      <c r="I15" s="621">
        <v>152357</v>
      </c>
      <c r="J15" s="621">
        <v>139657</v>
      </c>
      <c r="K15" s="621">
        <v>127872</v>
      </c>
      <c r="L15" s="621">
        <v>101215</v>
      </c>
      <c r="M15" s="621">
        <v>120561</v>
      </c>
      <c r="N15" s="621">
        <v>111789</v>
      </c>
      <c r="O15" s="621">
        <v>98728</v>
      </c>
      <c r="P15" s="621">
        <v>97913</v>
      </c>
      <c r="Q15" s="621">
        <v>102293</v>
      </c>
      <c r="R15" s="621">
        <v>89116</v>
      </c>
      <c r="S15" s="621">
        <v>79994</v>
      </c>
      <c r="T15" s="621">
        <v>67291</v>
      </c>
      <c r="U15" s="621">
        <v>64563</v>
      </c>
      <c r="V15" s="1281">
        <v>64642</v>
      </c>
      <c r="W15" s="52"/>
      <c r="X15" s="29"/>
      <c r="Y15" s="30">
        <f t="shared" si="11"/>
        <v>1255133.2</v>
      </c>
      <c r="Z15" s="684"/>
      <c r="AA15" s="684">
        <v>1580267</v>
      </c>
      <c r="AB15" s="121">
        <v>1385556</v>
      </c>
      <c r="AC15" s="121">
        <v>1171259</v>
      </c>
      <c r="AD15" s="121">
        <v>1075675</v>
      </c>
      <c r="AE15" s="121">
        <v>1062909</v>
      </c>
      <c r="AF15" s="121">
        <v>887781</v>
      </c>
      <c r="AG15" s="121">
        <v>945785</v>
      </c>
      <c r="AH15" s="121">
        <v>935568</v>
      </c>
      <c r="AI15" s="121">
        <v>839367</v>
      </c>
      <c r="AJ15" s="121">
        <v>869248</v>
      </c>
      <c r="AK15" s="121">
        <v>808681</v>
      </c>
      <c r="AL15" s="121">
        <v>658799</v>
      </c>
      <c r="AM15" s="803">
        <v>640106</v>
      </c>
      <c r="AN15" s="55"/>
      <c r="AO15" s="32"/>
      <c r="AP15" s="1290">
        <f t="shared" si="12"/>
        <v>41442.8</v>
      </c>
      <c r="AQ15" s="838"/>
      <c r="AR15" s="838">
        <v>17046</v>
      </c>
      <c r="AS15" s="736">
        <v>39504</v>
      </c>
      <c r="AT15" s="736">
        <v>42090</v>
      </c>
      <c r="AU15" s="858">
        <v>58642</v>
      </c>
      <c r="AV15" s="858">
        <v>49932</v>
      </c>
      <c r="AW15" s="858">
        <v>53320</v>
      </c>
      <c r="AX15" s="858">
        <v>48627</v>
      </c>
      <c r="AY15" s="858">
        <v>47380</v>
      </c>
      <c r="AZ15" s="858">
        <v>44840</v>
      </c>
      <c r="BA15" s="858">
        <v>45497</v>
      </c>
      <c r="BB15" s="858">
        <v>48426</v>
      </c>
      <c r="BC15" s="858">
        <v>44053</v>
      </c>
      <c r="BD15" s="858">
        <v>78582</v>
      </c>
      <c r="BE15" s="1300">
        <v>61907</v>
      </c>
      <c r="BF15" s="389"/>
      <c r="BG15" s="390"/>
      <c r="BH15" s="76">
        <f t="shared" si="13"/>
        <v>1400047.6</v>
      </c>
      <c r="BI15" s="853"/>
      <c r="BJ15" s="853">
        <f t="shared" si="20"/>
        <v>1597313</v>
      </c>
      <c r="BK15" s="859">
        <f t="shared" si="15"/>
        <v>1619771</v>
      </c>
      <c r="BL15" s="373">
        <f t="shared" si="16"/>
        <v>1427646</v>
      </c>
      <c r="BM15" s="859">
        <f t="shared" si="17"/>
        <v>1229901</v>
      </c>
      <c r="BN15" s="859">
        <f t="shared" si="18"/>
        <v>1125607</v>
      </c>
      <c r="BO15" s="859">
        <v>1116229</v>
      </c>
      <c r="BP15" s="859">
        <v>936408</v>
      </c>
      <c r="BQ15" s="859">
        <v>993165</v>
      </c>
      <c r="BR15" s="859">
        <v>980408</v>
      </c>
      <c r="BS15" s="859">
        <v>884864</v>
      </c>
      <c r="BT15" s="859">
        <v>917674</v>
      </c>
      <c r="BU15" s="859">
        <v>852734</v>
      </c>
      <c r="BV15" s="859">
        <v>737381</v>
      </c>
      <c r="BW15" s="860">
        <v>702013</v>
      </c>
      <c r="BX15" s="170"/>
      <c r="BY15" s="37"/>
      <c r="BZ15" s="38">
        <f t="shared" si="19"/>
        <v>2197.6</v>
      </c>
      <c r="CA15" s="123"/>
      <c r="CB15" s="123">
        <v>3244</v>
      </c>
      <c r="CC15" s="123">
        <v>1683</v>
      </c>
      <c r="CD15" s="123">
        <v>2676</v>
      </c>
      <c r="CE15" s="123">
        <v>2608</v>
      </c>
      <c r="CF15" s="123">
        <v>777</v>
      </c>
      <c r="CG15" s="123">
        <v>975</v>
      </c>
      <c r="CH15" s="123">
        <v>1569</v>
      </c>
      <c r="CI15" s="123">
        <v>1166</v>
      </c>
      <c r="CJ15" s="123">
        <v>1541</v>
      </c>
      <c r="CK15" s="123">
        <v>1026</v>
      </c>
      <c r="CL15" s="123">
        <v>1216</v>
      </c>
      <c r="CM15" s="123">
        <v>1292</v>
      </c>
      <c r="CN15" s="123">
        <v>1228</v>
      </c>
      <c r="CO15" s="795">
        <v>1060</v>
      </c>
    </row>
    <row r="16" spans="1:93" s="749" customFormat="1" ht="13.5" thickBot="1">
      <c r="A16" s="539" t="s">
        <v>24</v>
      </c>
      <c r="B16" s="1278"/>
      <c r="C16" s="1279"/>
      <c r="D16" s="611">
        <f t="shared" si="10"/>
        <v>161462.2</v>
      </c>
      <c r="E16" s="1277"/>
      <c r="F16" s="1277">
        <v>175641</v>
      </c>
      <c r="G16" s="865">
        <v>171729</v>
      </c>
      <c r="H16" s="865">
        <v>160870</v>
      </c>
      <c r="I16" s="865">
        <v>160470</v>
      </c>
      <c r="J16" s="865">
        <v>138601</v>
      </c>
      <c r="K16" s="865">
        <v>132880</v>
      </c>
      <c r="L16" s="865">
        <v>104376</v>
      </c>
      <c r="M16" s="865">
        <v>109032</v>
      </c>
      <c r="N16" s="865">
        <v>109429</v>
      </c>
      <c r="O16" s="865">
        <v>97744</v>
      </c>
      <c r="P16" s="865">
        <v>100433</v>
      </c>
      <c r="Q16" s="865">
        <v>98801</v>
      </c>
      <c r="R16" s="865">
        <v>93623</v>
      </c>
      <c r="S16" s="865">
        <v>83266</v>
      </c>
      <c r="T16" s="865">
        <v>67656</v>
      </c>
      <c r="U16" s="865">
        <v>68458</v>
      </c>
      <c r="V16" s="1282">
        <v>70917</v>
      </c>
      <c r="W16" s="960"/>
      <c r="X16" s="961"/>
      <c r="Y16" s="940">
        <f t="shared" si="11"/>
        <v>1249479.8</v>
      </c>
      <c r="Z16" s="1284"/>
      <c r="AA16" s="1284">
        <v>1499089</v>
      </c>
      <c r="AB16" s="124">
        <v>1248314</v>
      </c>
      <c r="AC16" s="124">
        <v>1261310</v>
      </c>
      <c r="AD16" s="124">
        <v>1115702</v>
      </c>
      <c r="AE16" s="124">
        <v>1122984</v>
      </c>
      <c r="AF16" s="124">
        <v>925437</v>
      </c>
      <c r="AG16" s="124">
        <v>886130</v>
      </c>
      <c r="AH16" s="124">
        <v>924272</v>
      </c>
      <c r="AI16" s="124">
        <v>848428</v>
      </c>
      <c r="AJ16" s="124">
        <v>858789</v>
      </c>
      <c r="AK16" s="124">
        <v>787006</v>
      </c>
      <c r="AL16" s="124">
        <v>732639</v>
      </c>
      <c r="AM16" s="676">
        <v>675500</v>
      </c>
      <c r="AN16" s="1291"/>
      <c r="AO16" s="1292"/>
      <c r="AP16" s="1293">
        <f t="shared" si="12"/>
        <v>43053</v>
      </c>
      <c r="AQ16" s="1301"/>
      <c r="AR16" s="1301">
        <v>37954</v>
      </c>
      <c r="AS16" s="1302">
        <v>32012</v>
      </c>
      <c r="AT16" s="1302">
        <v>42377</v>
      </c>
      <c r="AU16" s="1303">
        <v>44978</v>
      </c>
      <c r="AV16" s="1303">
        <v>57944</v>
      </c>
      <c r="AW16" s="1303">
        <v>63949</v>
      </c>
      <c r="AX16" s="1303">
        <v>35476</v>
      </c>
      <c r="AY16" s="1303">
        <v>53539</v>
      </c>
      <c r="AZ16" s="1303">
        <v>60409</v>
      </c>
      <c r="BA16" s="1303">
        <v>50101</v>
      </c>
      <c r="BB16" s="1303">
        <v>66411</v>
      </c>
      <c r="BC16" s="1303">
        <v>37841</v>
      </c>
      <c r="BD16" s="1303">
        <v>58018</v>
      </c>
      <c r="BE16" s="1304">
        <v>72887</v>
      </c>
      <c r="BF16" s="1198"/>
      <c r="BG16" s="967"/>
      <c r="BH16" s="968">
        <f t="shared" si="13"/>
        <v>1367753.8</v>
      </c>
      <c r="BI16" s="853"/>
      <c r="BJ16" s="853">
        <f t="shared" si="20"/>
        <v>1537043</v>
      </c>
      <c r="BK16" s="866">
        <f t="shared" si="15"/>
        <v>1531101</v>
      </c>
      <c r="BL16" s="424">
        <f t="shared" si="16"/>
        <v>1290691</v>
      </c>
      <c r="BM16" s="866">
        <f t="shared" si="17"/>
        <v>1306288</v>
      </c>
      <c r="BN16" s="866">
        <f t="shared" si="18"/>
        <v>1173646</v>
      </c>
      <c r="BO16" s="866">
        <v>1186933</v>
      </c>
      <c r="BP16" s="866">
        <v>960913</v>
      </c>
      <c r="BQ16" s="866">
        <v>939669</v>
      </c>
      <c r="BR16" s="866">
        <v>984681</v>
      </c>
      <c r="BS16" s="866">
        <v>898529</v>
      </c>
      <c r="BT16" s="866">
        <v>925200</v>
      </c>
      <c r="BU16" s="866">
        <v>824847</v>
      </c>
      <c r="BV16" s="866">
        <v>790657</v>
      </c>
      <c r="BW16" s="867">
        <v>748387</v>
      </c>
      <c r="BX16" s="1042"/>
      <c r="BY16" s="1308"/>
      <c r="BZ16" s="454">
        <f t="shared" si="19"/>
        <v>2019.8</v>
      </c>
      <c r="CA16" s="675"/>
      <c r="CB16" s="675">
        <v>2521</v>
      </c>
      <c r="CC16" s="675">
        <v>1726</v>
      </c>
      <c r="CD16" s="675">
        <v>2156</v>
      </c>
      <c r="CE16" s="675">
        <v>2390</v>
      </c>
      <c r="CF16" s="675">
        <v>1306</v>
      </c>
      <c r="CG16" s="675">
        <v>927</v>
      </c>
      <c r="CH16" s="675">
        <v>1333</v>
      </c>
      <c r="CI16" s="675">
        <v>1405</v>
      </c>
      <c r="CJ16" s="675">
        <v>1656</v>
      </c>
      <c r="CK16" s="675">
        <v>1000</v>
      </c>
      <c r="CL16" s="675">
        <v>1381</v>
      </c>
      <c r="CM16" s="675">
        <v>1096</v>
      </c>
      <c r="CN16" s="675">
        <v>1279</v>
      </c>
      <c r="CO16" s="868">
        <v>1018</v>
      </c>
    </row>
    <row r="17" spans="1:96" s="789" customFormat="1" ht="12.75">
      <c r="A17" s="546" t="s">
        <v>41</v>
      </c>
      <c r="B17" s="464">
        <f>SUM(E17-F17)/F17</f>
        <v>0.012980788566985294</v>
      </c>
      <c r="C17" s="500">
        <f>SUM(E17-D17)/D17</f>
        <v>0.11686287899909996</v>
      </c>
      <c r="D17" s="465">
        <f>AVERAGE(F17:J17)</f>
        <v>1082449.8</v>
      </c>
      <c r="E17" s="399">
        <f>SUM(E5:E11)</f>
        <v>1208948</v>
      </c>
      <c r="F17" s="399">
        <f aca="true" t="shared" si="21" ref="F17:S17">SUM(F5:F11)</f>
        <v>1193456</v>
      </c>
      <c r="G17" s="399">
        <f t="shared" si="21"/>
        <v>1169312</v>
      </c>
      <c r="H17" s="399">
        <f t="shared" si="21"/>
        <v>1111376</v>
      </c>
      <c r="I17" s="399">
        <f t="shared" si="21"/>
        <v>1007410</v>
      </c>
      <c r="J17" s="399">
        <f t="shared" si="21"/>
        <v>930695</v>
      </c>
      <c r="K17" s="399">
        <f t="shared" si="21"/>
        <v>784296</v>
      </c>
      <c r="L17" s="399">
        <f t="shared" si="21"/>
        <v>769426</v>
      </c>
      <c r="M17" s="399">
        <f t="shared" si="21"/>
        <v>773278</v>
      </c>
      <c r="N17" s="399">
        <f t="shared" si="21"/>
        <v>753358</v>
      </c>
      <c r="O17" s="399">
        <f t="shared" si="21"/>
        <v>744791</v>
      </c>
      <c r="P17" s="399">
        <f t="shared" si="21"/>
        <v>724974</v>
      </c>
      <c r="Q17" s="399">
        <f t="shared" si="21"/>
        <v>643395</v>
      </c>
      <c r="R17" s="399">
        <f t="shared" si="21"/>
        <v>632847</v>
      </c>
      <c r="S17" s="399">
        <f t="shared" si="21"/>
        <v>499104</v>
      </c>
      <c r="T17" s="399">
        <f>SUM(T5:T10)</f>
        <v>395576</v>
      </c>
      <c r="U17" s="399">
        <f>SUM(U5:U10)</f>
        <v>430632</v>
      </c>
      <c r="V17" s="399">
        <f>SUM(V5:V10)</f>
        <v>438201</v>
      </c>
      <c r="W17" s="467">
        <f>SUM(Z17-AA17)/AA17</f>
        <v>0.06970678381262872</v>
      </c>
      <c r="X17" s="468">
        <f>SUM(Z17-Y17)/Y17</f>
        <v>0.2625918455531314</v>
      </c>
      <c r="Y17" s="469">
        <f>AVERAGE(AA17:AE17)</f>
        <v>8272556.2</v>
      </c>
      <c r="Z17" s="399">
        <f>SUM(Z5:Z11)</f>
        <v>10444862</v>
      </c>
      <c r="AA17" s="399">
        <f aca="true" t="shared" si="22" ref="AA17:AN17">SUM(AA5:AA11)</f>
        <v>9764229</v>
      </c>
      <c r="AB17" s="399">
        <f t="shared" si="22"/>
        <v>8823234</v>
      </c>
      <c r="AC17" s="399">
        <f t="shared" si="22"/>
        <v>8145751</v>
      </c>
      <c r="AD17" s="399">
        <f t="shared" si="22"/>
        <v>7805128</v>
      </c>
      <c r="AE17" s="399">
        <f t="shared" si="22"/>
        <v>6824439</v>
      </c>
      <c r="AF17" s="399">
        <f t="shared" si="22"/>
        <v>6499935</v>
      </c>
      <c r="AG17" s="399">
        <f t="shared" si="22"/>
        <v>6701442</v>
      </c>
      <c r="AH17" s="399">
        <f t="shared" si="22"/>
        <v>6499813</v>
      </c>
      <c r="AI17" s="399">
        <f t="shared" si="22"/>
        <v>6189836</v>
      </c>
      <c r="AJ17" s="399">
        <f t="shared" si="22"/>
        <v>5890316</v>
      </c>
      <c r="AK17" s="399">
        <f t="shared" si="22"/>
        <v>5087456</v>
      </c>
      <c r="AL17" s="399">
        <f t="shared" si="22"/>
        <v>4928650</v>
      </c>
      <c r="AM17" s="399">
        <f t="shared" si="22"/>
        <v>3975839</v>
      </c>
      <c r="AN17" s="399">
        <f t="shared" si="22"/>
        <v>-0.39934631165122403</v>
      </c>
      <c r="AO17" s="1348">
        <f>SUM(AQ17-AP17)/AP17</f>
        <v>0.5720773262414657</v>
      </c>
      <c r="AP17" s="399">
        <f>SUM(AP5:AP7)</f>
        <v>128598</v>
      </c>
      <c r="AQ17" s="399">
        <f>SUM(AQ5:AQ11)</f>
        <v>202166</v>
      </c>
      <c r="AR17" s="399">
        <f aca="true" t="shared" si="23" ref="AR17:BE17">SUM(AR5:AR11)</f>
        <v>219521</v>
      </c>
      <c r="AS17" s="399">
        <f t="shared" si="23"/>
        <v>302271</v>
      </c>
      <c r="AT17" s="399">
        <f t="shared" si="23"/>
        <v>307263</v>
      </c>
      <c r="AU17" s="399">
        <f t="shared" si="23"/>
        <v>344724</v>
      </c>
      <c r="AV17" s="399">
        <f t="shared" si="23"/>
        <v>361916</v>
      </c>
      <c r="AW17" s="399">
        <f t="shared" si="23"/>
        <v>318632</v>
      </c>
      <c r="AX17" s="399">
        <f t="shared" si="23"/>
        <v>263088</v>
      </c>
      <c r="AY17" s="399">
        <f t="shared" si="23"/>
        <v>375985</v>
      </c>
      <c r="AZ17" s="399">
        <f t="shared" si="23"/>
        <v>389546</v>
      </c>
      <c r="BA17" s="399">
        <f t="shared" si="23"/>
        <v>411006</v>
      </c>
      <c r="BB17" s="399">
        <f t="shared" si="23"/>
        <v>358279</v>
      </c>
      <c r="BC17" s="399">
        <f t="shared" si="23"/>
        <v>379581</v>
      </c>
      <c r="BD17" s="399">
        <f t="shared" si="23"/>
        <v>477272</v>
      </c>
      <c r="BE17" s="399">
        <f t="shared" si="23"/>
        <v>520591</v>
      </c>
      <c r="BF17" s="1347">
        <f>SUM(BI17-BJ17)/BJ17</f>
        <v>0.06643575810692375</v>
      </c>
      <c r="BG17" s="1348">
        <f>SUM(BI17-BH17)/BH17</f>
        <v>1.7907619234445715</v>
      </c>
      <c r="BH17" s="399">
        <f>SUM(BH5:BH7)</f>
        <v>3815097.2</v>
      </c>
      <c r="BI17" s="399">
        <f t="shared" si="20"/>
        <v>10647028</v>
      </c>
      <c r="BJ17" s="399">
        <f t="shared" si="20"/>
        <v>9983750</v>
      </c>
      <c r="BK17" s="399">
        <f t="shared" si="15"/>
        <v>10066500</v>
      </c>
      <c r="BL17" s="399">
        <f t="shared" si="16"/>
        <v>9130497</v>
      </c>
      <c r="BM17" s="399">
        <f t="shared" si="17"/>
        <v>8490475</v>
      </c>
      <c r="BN17" s="399">
        <f t="shared" si="18"/>
        <v>8167044</v>
      </c>
      <c r="BO17" s="399">
        <f aca="true" t="shared" si="24" ref="BO17:BW17">+AE17+AW17</f>
        <v>7143071</v>
      </c>
      <c r="BP17" s="399">
        <f t="shared" si="24"/>
        <v>6763023</v>
      </c>
      <c r="BQ17" s="399">
        <f t="shared" si="24"/>
        <v>7077427</v>
      </c>
      <c r="BR17" s="399">
        <f t="shared" si="24"/>
        <v>6889359</v>
      </c>
      <c r="BS17" s="399">
        <f t="shared" si="24"/>
        <v>6600842</v>
      </c>
      <c r="BT17" s="399">
        <f t="shared" si="24"/>
        <v>6248595</v>
      </c>
      <c r="BU17" s="399">
        <f t="shared" si="24"/>
        <v>5467037</v>
      </c>
      <c r="BV17" s="399">
        <f t="shared" si="24"/>
        <v>5405922</v>
      </c>
      <c r="BW17" s="1221">
        <f t="shared" si="24"/>
        <v>4496430</v>
      </c>
      <c r="BX17" s="464">
        <f>SUM(CA17-CB17)/CB17</f>
        <v>0.03587306454085543</v>
      </c>
      <c r="BY17" s="500">
        <f>SUM(CA17-BZ17)/BZ17</f>
        <v>0.22520398912058023</v>
      </c>
      <c r="BZ17" s="465">
        <f>AVERAGE(CB17:CF17)</f>
        <v>16545</v>
      </c>
      <c r="CA17" s="399">
        <f>SUM(CA5:CA11)</f>
        <v>20271</v>
      </c>
      <c r="CB17" s="399">
        <f aca="true" t="shared" si="25" ref="CB17:CO17">SUM(CB5:CB11)</f>
        <v>19569</v>
      </c>
      <c r="CC17" s="399">
        <f t="shared" si="25"/>
        <v>19082</v>
      </c>
      <c r="CD17" s="399">
        <f t="shared" si="25"/>
        <v>20053</v>
      </c>
      <c r="CE17" s="399">
        <f t="shared" si="25"/>
        <v>15933</v>
      </c>
      <c r="CF17" s="399">
        <f t="shared" si="25"/>
        <v>8088</v>
      </c>
      <c r="CG17" s="399">
        <f t="shared" si="25"/>
        <v>9883</v>
      </c>
      <c r="CH17" s="399">
        <f t="shared" si="25"/>
        <v>10542</v>
      </c>
      <c r="CI17" s="399">
        <f t="shared" si="25"/>
        <v>10885</v>
      </c>
      <c r="CJ17" s="399">
        <f t="shared" si="25"/>
        <v>11101</v>
      </c>
      <c r="CK17" s="399">
        <f t="shared" si="25"/>
        <v>8788</v>
      </c>
      <c r="CL17" s="399">
        <f t="shared" si="25"/>
        <v>8221</v>
      </c>
      <c r="CM17" s="399">
        <f t="shared" si="25"/>
        <v>8087</v>
      </c>
      <c r="CN17" s="399">
        <f t="shared" si="25"/>
        <v>7888</v>
      </c>
      <c r="CO17" s="399">
        <f t="shared" si="25"/>
        <v>7320</v>
      </c>
      <c r="CP17" s="399">
        <f>SUM(CP5:CP9)</f>
        <v>0</v>
      </c>
      <c r="CQ17" s="399">
        <f>SUM(CQ5:CQ9)</f>
        <v>0</v>
      </c>
      <c r="CR17" s="399">
        <f>SUM(CR5:CR9)</f>
        <v>0</v>
      </c>
    </row>
    <row r="18" spans="1:93" s="789" customFormat="1" ht="13.5" thickBot="1">
      <c r="A18" s="548" t="s">
        <v>42</v>
      </c>
      <c r="B18" s="583">
        <f>SUM(E18-F18)/F18</f>
        <v>0.024515693157284062</v>
      </c>
      <c r="C18" s="584">
        <f>SUM(E18-D18)/D18</f>
        <v>0.17286840795849845</v>
      </c>
      <c r="D18" s="357">
        <f>AVERAGE(G18:K18)</f>
        <v>148687.1833333333</v>
      </c>
      <c r="E18" s="357">
        <f>AVERAGE(E5:E8)</f>
        <v>174390.5</v>
      </c>
      <c r="F18" s="357">
        <f>AVERAGE(F5:F8)</f>
        <v>170217.5</v>
      </c>
      <c r="G18" s="102">
        <f>AVERAGE(G5:G16)</f>
        <v>170523.75</v>
      </c>
      <c r="H18" s="102">
        <f>AVERAGE(H5:H16)</f>
        <v>165162.91666666666</v>
      </c>
      <c r="I18" s="102">
        <f aca="true" t="shared" si="26" ref="I18:V18">AVERAGE(I5:I16)</f>
        <v>150744.41666666666</v>
      </c>
      <c r="J18" s="102">
        <f t="shared" si="26"/>
        <v>137189.91666666666</v>
      </c>
      <c r="K18" s="102">
        <f t="shared" si="26"/>
        <v>119814.91666666667</v>
      </c>
      <c r="L18" s="102">
        <f t="shared" si="26"/>
        <v>108649.75</v>
      </c>
      <c r="M18" s="102">
        <f t="shared" si="26"/>
        <v>112293.08333333333</v>
      </c>
      <c r="N18" s="102">
        <f t="shared" si="26"/>
        <v>108878.08333333333</v>
      </c>
      <c r="O18" s="102">
        <f t="shared" si="26"/>
        <v>104324.25</v>
      </c>
      <c r="P18" s="102">
        <f t="shared" si="26"/>
        <v>102727.08333333333</v>
      </c>
      <c r="Q18" s="102">
        <f t="shared" si="26"/>
        <v>95113.08333333333</v>
      </c>
      <c r="R18" s="102">
        <f t="shared" si="26"/>
        <v>89820.5</v>
      </c>
      <c r="S18" s="102">
        <f t="shared" si="26"/>
        <v>74508.75</v>
      </c>
      <c r="T18" s="102">
        <f t="shared" si="26"/>
        <v>65501.916666666664</v>
      </c>
      <c r="U18" s="102">
        <f t="shared" si="26"/>
        <v>70521.33333333333</v>
      </c>
      <c r="V18" s="312">
        <f t="shared" si="26"/>
        <v>71672.08333333333</v>
      </c>
      <c r="W18" s="583">
        <f>SUM(Z18-AA18)/AA18</f>
        <v>0.10568033523515699</v>
      </c>
      <c r="X18" s="584">
        <f>SUM(Z18-Y18)/Y18</f>
        <v>0.37872039464179336</v>
      </c>
      <c r="Y18" s="357">
        <f>AVERAGE(AB18:AF18)</f>
        <v>1106312.9666666668</v>
      </c>
      <c r="Z18" s="357">
        <f>AVERAGE(Z5:Z8)</f>
        <v>1525296.25</v>
      </c>
      <c r="AA18" s="357">
        <f>AVERAGE(AA5:AA8)</f>
        <v>1379509.25</v>
      </c>
      <c r="AB18" s="102">
        <f>AVERAGE(AB5:AB16)</f>
        <v>1288772.75</v>
      </c>
      <c r="AC18" s="102">
        <f>AVERAGE(AC5:AC16)</f>
        <v>1189401.6666666667</v>
      </c>
      <c r="AD18" s="102">
        <f>AVERAGE(AD5:AD16)</f>
        <v>1111562.75</v>
      </c>
      <c r="AE18" s="102">
        <f aca="true" t="shared" si="27" ref="AE18:AM18">AVERAGE(AE5:AE16)</f>
        <v>1018025.1666666666</v>
      </c>
      <c r="AF18" s="102">
        <f t="shared" si="27"/>
        <v>923802.5</v>
      </c>
      <c r="AG18" s="102">
        <f t="shared" si="27"/>
        <v>945972.75</v>
      </c>
      <c r="AH18" s="102">
        <f t="shared" si="27"/>
        <v>929305.0833333334</v>
      </c>
      <c r="AI18" s="102">
        <f t="shared" si="27"/>
        <v>871719.1666666666</v>
      </c>
      <c r="AJ18" s="102">
        <f t="shared" si="27"/>
        <v>845756.75</v>
      </c>
      <c r="AK18" s="102">
        <f t="shared" si="27"/>
        <v>751027.5</v>
      </c>
      <c r="AL18" s="102">
        <f t="shared" si="27"/>
        <v>693177.3333333334</v>
      </c>
      <c r="AM18" s="312">
        <f t="shared" si="27"/>
        <v>587980.0833333334</v>
      </c>
      <c r="AN18" s="583">
        <f>SUM(AQ18-AR18)/AR18</f>
        <v>-0.12723633469091247</v>
      </c>
      <c r="AO18" s="584">
        <f>SUM(AQ18-AP18)/AP18</f>
        <v>-0.3980630649837968</v>
      </c>
      <c r="AP18" s="357">
        <f>AVERAGE(AS18:AW18)</f>
        <v>46904.00000000001</v>
      </c>
      <c r="AQ18" s="357">
        <f>AVERAGE(AQ5:AQ8)</f>
        <v>28233.25</v>
      </c>
      <c r="AR18" s="357">
        <f>AVERAGE(AR5:AR8)</f>
        <v>32349.25</v>
      </c>
      <c r="AS18" s="102">
        <f>AVERAGE(AS5:AS16)</f>
        <v>39803.416666666664</v>
      </c>
      <c r="AT18" s="102">
        <f>AVERAGE(AT5:AT16)</f>
        <v>41562.083333333336</v>
      </c>
      <c r="AU18" s="102">
        <f>AVERAGE(AU5:AU16)</f>
        <v>48738.583333333336</v>
      </c>
      <c r="AV18" s="102">
        <f>AVERAGE(AV5:AV16)</f>
        <v>53738.583333333336</v>
      </c>
      <c r="AW18" s="102">
        <f aca="true" t="shared" si="28" ref="AW18:BE18">AVERAGE(AW5:AW16)</f>
        <v>50677.333333333336</v>
      </c>
      <c r="AX18" s="102">
        <f t="shared" si="28"/>
        <v>38404.333333333336</v>
      </c>
      <c r="AY18" s="102">
        <f t="shared" si="28"/>
        <v>51452.666666666664</v>
      </c>
      <c r="AZ18" s="102">
        <f t="shared" si="28"/>
        <v>56058.5</v>
      </c>
      <c r="BA18" s="102">
        <f t="shared" si="28"/>
        <v>59084.5</v>
      </c>
      <c r="BB18" s="102">
        <f t="shared" si="28"/>
        <v>54012.333333333336</v>
      </c>
      <c r="BC18" s="102">
        <f t="shared" si="28"/>
        <v>50974.5</v>
      </c>
      <c r="BD18" s="102">
        <f t="shared" si="28"/>
        <v>64007.5</v>
      </c>
      <c r="BE18" s="102">
        <f t="shared" si="28"/>
        <v>74805.66666666667</v>
      </c>
      <c r="BF18" s="583">
        <f>SUM(BI18-BJ18)/BJ18</f>
        <v>0.10034362508707495</v>
      </c>
      <c r="BG18" s="584">
        <f>SUM(BI18-BH18)/BH18</f>
        <v>0.2351835778431808</v>
      </c>
      <c r="BH18" s="357">
        <f>AVERAGE(BK18:BO18)</f>
        <v>1257731.6666666665</v>
      </c>
      <c r="BI18" s="357">
        <f>AVERAGE(BI5:BI8)</f>
        <v>1553529.5</v>
      </c>
      <c r="BJ18" s="357">
        <f>AVERAGE(BJ5:BJ8)</f>
        <v>1411858.5</v>
      </c>
      <c r="BK18" s="102">
        <f>AVERAGE(BK5:BK16)</f>
        <v>1486179.4166666667</v>
      </c>
      <c r="BL18" s="102">
        <f>AVERAGE(BL5:BL16)</f>
        <v>1330334.8333333333</v>
      </c>
      <c r="BM18" s="102">
        <f>AVERAGE(BM5:BM16)</f>
        <v>1238140.25</v>
      </c>
      <c r="BN18" s="102">
        <f aca="true" t="shared" si="29" ref="BN18:BW18">AVERAGE(BN5:BN16)</f>
        <v>1165301.3333333333</v>
      </c>
      <c r="BO18" s="102">
        <f t="shared" si="29"/>
        <v>1068702.5</v>
      </c>
      <c r="BP18" s="102">
        <f t="shared" si="29"/>
        <v>962206.8333333334</v>
      </c>
      <c r="BQ18" s="102">
        <f t="shared" si="29"/>
        <v>997425.4166666666</v>
      </c>
      <c r="BR18" s="102">
        <f t="shared" si="29"/>
        <v>985363.5833333334</v>
      </c>
      <c r="BS18" s="102">
        <f t="shared" si="29"/>
        <v>930803.6666666666</v>
      </c>
      <c r="BT18" s="102">
        <f t="shared" si="29"/>
        <v>899769.0833333334</v>
      </c>
      <c r="BU18" s="102">
        <f t="shared" si="29"/>
        <v>802002</v>
      </c>
      <c r="BV18" s="102">
        <f t="shared" si="29"/>
        <v>757184.8333333334</v>
      </c>
      <c r="BW18" s="356">
        <f t="shared" si="29"/>
        <v>662785.75</v>
      </c>
      <c r="BX18" s="294">
        <f>SUM(CA18-CB18)/CB18</f>
        <v>0.11977045538689374</v>
      </c>
      <c r="BY18" s="358">
        <f>SUM(CA18-BZ18)/BZ18</f>
        <v>0.4557195571955717</v>
      </c>
      <c r="BZ18" s="295">
        <f>AVERAGE(CC18:CG18)</f>
        <v>2077.666666666667</v>
      </c>
      <c r="CA18" s="295">
        <f>AVERAGE(CA5:CA8)</f>
        <v>3024.5</v>
      </c>
      <c r="CB18" s="295">
        <f>AVERAGE(CB5:CB8)</f>
        <v>2701</v>
      </c>
      <c r="CC18" s="102">
        <f>AVERAGE(CC5:CC16)</f>
        <v>2576.25</v>
      </c>
      <c r="CD18" s="102">
        <f>AVERAGE(CD5:CD16)</f>
        <v>2972.0833333333335</v>
      </c>
      <c r="CE18" s="102">
        <f>AVERAGE(CE5:CE16)</f>
        <v>2366.75</v>
      </c>
      <c r="CF18" s="102">
        <f aca="true" t="shared" si="30" ref="CF18:CO18">AVERAGE(CF5:CF16)</f>
        <v>1177</v>
      </c>
      <c r="CG18" s="102">
        <f t="shared" si="30"/>
        <v>1296.25</v>
      </c>
      <c r="CH18" s="102">
        <f t="shared" si="30"/>
        <v>1539.4166666666667</v>
      </c>
      <c r="CI18" s="102">
        <f t="shared" si="30"/>
        <v>1534.75</v>
      </c>
      <c r="CJ18" s="102">
        <f t="shared" si="30"/>
        <v>1601.25</v>
      </c>
      <c r="CK18" s="102">
        <f t="shared" si="30"/>
        <v>1182.5454545454545</v>
      </c>
      <c r="CL18" s="102">
        <f t="shared" si="30"/>
        <v>1225.25</v>
      </c>
      <c r="CM18" s="102">
        <f t="shared" si="30"/>
        <v>1185.6666666666667</v>
      </c>
      <c r="CN18" s="102">
        <f t="shared" si="30"/>
        <v>1241.6666666666667</v>
      </c>
      <c r="CO18" s="312">
        <f t="shared" si="30"/>
        <v>1063</v>
      </c>
    </row>
    <row r="20" ht="12.75">
      <c r="Y20" s="1429">
        <v>1616915</v>
      </c>
    </row>
    <row r="21" spans="25:29" ht="12.75">
      <c r="Y21" s="1429">
        <v>29973</v>
      </c>
      <c r="AC21" s="942"/>
    </row>
  </sheetData>
  <mergeCells count="6">
    <mergeCell ref="BX3:CO3"/>
    <mergeCell ref="A1:A4"/>
    <mergeCell ref="W3:AM3"/>
    <mergeCell ref="AN3:BE3"/>
    <mergeCell ref="BF3:BW3"/>
    <mergeCell ref="B3:V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O1">
      <selection activeCell="B13" sqref="B13"/>
    </sheetView>
  </sheetViews>
  <sheetFormatPr defaultColWidth="9.140625" defaultRowHeight="12.75"/>
  <cols>
    <col min="1" max="1" width="14.421875" style="0" customWidth="1"/>
    <col min="2" max="2" width="7.00390625" style="0" customWidth="1"/>
    <col min="3" max="5" width="7.7109375" style="0" bestFit="1" customWidth="1"/>
    <col min="6" max="6" width="5.7109375" style="0" bestFit="1" customWidth="1"/>
    <col min="7" max="7" width="7.00390625" style="0" bestFit="1" customWidth="1"/>
    <col min="8" max="10" width="6.8515625" style="0" bestFit="1" customWidth="1"/>
    <col min="11" max="11" width="5.7109375" style="0" bestFit="1" customWidth="1"/>
    <col min="12" max="12" width="5.8515625" style="0" bestFit="1" customWidth="1"/>
    <col min="13" max="15" width="6.57421875" style="0" bestFit="1" customWidth="1"/>
    <col min="16" max="16" width="5.7109375" style="0" bestFit="1" customWidth="1"/>
    <col min="17" max="17" width="7.00390625" style="0" bestFit="1" customWidth="1"/>
    <col min="18" max="20" width="7.7109375" style="0" bestFit="1" customWidth="1"/>
    <col min="21" max="21" width="5.7109375" style="0" bestFit="1" customWidth="1"/>
    <col min="22" max="22" width="7.00390625" style="0" bestFit="1" customWidth="1"/>
    <col min="23" max="25" width="6.57421875" style="0" customWidth="1"/>
    <col min="26" max="26" width="6.57421875" style="0" bestFit="1" customWidth="1"/>
  </cols>
  <sheetData>
    <row r="1" spans="1:26" s="749" customFormat="1" ht="13.5" thickBot="1">
      <c r="A1" s="1901" t="s">
        <v>204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1911"/>
      <c r="W1" s="1911"/>
      <c r="X1" s="1911"/>
      <c r="Y1" s="1911"/>
      <c r="Z1" s="1912"/>
    </row>
    <row r="2" spans="1:26" s="749" customFormat="1" ht="13.5" thickBot="1">
      <c r="A2" s="1948"/>
      <c r="B2" s="609" t="s">
        <v>44</v>
      </c>
      <c r="C2" s="609">
        <v>2008</v>
      </c>
      <c r="D2" s="609">
        <v>2007</v>
      </c>
      <c r="E2" s="609">
        <v>2006</v>
      </c>
      <c r="F2" s="466">
        <v>2005</v>
      </c>
      <c r="G2" s="1056" t="s">
        <v>44</v>
      </c>
      <c r="H2" s="1056">
        <v>2008</v>
      </c>
      <c r="I2" s="1056">
        <v>2007</v>
      </c>
      <c r="J2" s="1056">
        <v>2006</v>
      </c>
      <c r="K2" s="112">
        <v>2005</v>
      </c>
      <c r="L2" s="1048">
        <v>2008</v>
      </c>
      <c r="M2" s="1048">
        <v>2008</v>
      </c>
      <c r="N2" s="1048">
        <v>2007</v>
      </c>
      <c r="O2" s="1048">
        <v>2006</v>
      </c>
      <c r="P2" s="1049">
        <v>2005</v>
      </c>
      <c r="Q2" s="129" t="s">
        <v>44</v>
      </c>
      <c r="R2" s="129">
        <v>2008</v>
      </c>
      <c r="S2" s="129">
        <v>2007</v>
      </c>
      <c r="T2" s="129">
        <v>2006</v>
      </c>
      <c r="U2" s="130">
        <v>2005</v>
      </c>
      <c r="V2" s="610" t="s">
        <v>44</v>
      </c>
      <c r="W2" s="610">
        <v>2008</v>
      </c>
      <c r="X2" s="610">
        <v>2007</v>
      </c>
      <c r="Y2" s="610">
        <v>2006</v>
      </c>
      <c r="Z2" s="134">
        <v>2005</v>
      </c>
    </row>
    <row r="3" spans="1:26" s="749" customFormat="1" ht="13.5" thickBot="1">
      <c r="A3" s="309"/>
      <c r="B3" s="1890" t="s">
        <v>100</v>
      </c>
      <c r="C3" s="1896"/>
      <c r="D3" s="1896"/>
      <c r="E3" s="1896"/>
      <c r="F3" s="1896"/>
      <c r="G3" s="1930" t="s">
        <v>69</v>
      </c>
      <c r="H3" s="1931"/>
      <c r="I3" s="1931"/>
      <c r="J3" s="1931"/>
      <c r="K3" s="1932"/>
      <c r="L3" s="1930" t="s">
        <v>56</v>
      </c>
      <c r="M3" s="1931"/>
      <c r="N3" s="1931"/>
      <c r="O3" s="1931"/>
      <c r="P3" s="1931"/>
      <c r="Q3" s="1890" t="s">
        <v>49</v>
      </c>
      <c r="R3" s="1896"/>
      <c r="S3" s="1896"/>
      <c r="T3" s="1896"/>
      <c r="U3" s="1896"/>
      <c r="V3" s="1890" t="s">
        <v>116</v>
      </c>
      <c r="W3" s="1896"/>
      <c r="X3" s="1896"/>
      <c r="Y3" s="1896"/>
      <c r="Z3" s="1879"/>
    </row>
    <row r="4" spans="1:26" s="749" customFormat="1" ht="12.75">
      <c r="A4" s="696" t="s">
        <v>13</v>
      </c>
      <c r="B4" s="209">
        <f aca="true" t="shared" si="0" ref="B4:B9">SUM(C4-D4)/D4</f>
        <v>0.4804576631977294</v>
      </c>
      <c r="C4" s="483">
        <v>50075</v>
      </c>
      <c r="D4" s="680">
        <v>33824</v>
      </c>
      <c r="E4" s="483">
        <v>45209</v>
      </c>
      <c r="F4" s="484"/>
      <c r="G4" s="1416">
        <f aca="true" t="shared" si="1" ref="G4:G9">SUM(H4-I4)/I4</f>
        <v>0.13632646993235709</v>
      </c>
      <c r="H4" s="1658">
        <v>15287</v>
      </c>
      <c r="I4" s="23">
        <v>13453</v>
      </c>
      <c r="J4" s="23">
        <v>13869</v>
      </c>
      <c r="K4" s="857"/>
      <c r="L4" s="517">
        <f aca="true" t="shared" si="2" ref="L4:L9">SUM(M4-N4)/N4</f>
        <v>0.38253273261839793</v>
      </c>
      <c r="M4" s="1659">
        <f aca="true" t="shared" si="3" ref="M4:N6">+C4+H4</f>
        <v>65362</v>
      </c>
      <c r="N4" s="1659">
        <f t="shared" si="3"/>
        <v>47277</v>
      </c>
      <c r="O4" s="1659">
        <f aca="true" t="shared" si="4" ref="O4:O9">+E4+J4</f>
        <v>59078</v>
      </c>
      <c r="P4" s="1660"/>
      <c r="Q4" s="143">
        <f aca="true" t="shared" si="5" ref="Q4:Q9">SUM(R4-S4)/S4</f>
        <v>0.4455435910742086</v>
      </c>
      <c r="R4" s="1425">
        <v>44569</v>
      </c>
      <c r="S4" s="1425">
        <v>30832</v>
      </c>
      <c r="T4" s="1425">
        <v>40565</v>
      </c>
      <c r="U4" s="216"/>
      <c r="V4" s="175">
        <f aca="true" t="shared" si="6" ref="V4:V9">SUM(W4-X4)/X4</f>
        <v>0.40740503655148574</v>
      </c>
      <c r="W4" s="1661">
        <f aca="true" t="shared" si="7" ref="W4:X6">+M4+R4</f>
        <v>109931</v>
      </c>
      <c r="X4" s="197">
        <f t="shared" si="7"/>
        <v>78109</v>
      </c>
      <c r="Y4" s="197">
        <f aca="true" t="shared" si="8" ref="Y4:Y9">+O4+T4</f>
        <v>99643</v>
      </c>
      <c r="Z4" s="198"/>
    </row>
    <row r="5" spans="1:26" s="749" customFormat="1" ht="12.75">
      <c r="A5" s="539" t="s">
        <v>14</v>
      </c>
      <c r="B5" s="218">
        <f t="shared" si="0"/>
        <v>-0.20592699674737983</v>
      </c>
      <c r="C5" s="223">
        <v>32958</v>
      </c>
      <c r="D5" s="265">
        <v>41505</v>
      </c>
      <c r="E5" s="223">
        <v>29999</v>
      </c>
      <c r="F5" s="224"/>
      <c r="G5" s="119">
        <f t="shared" si="1"/>
        <v>0.0015843429636533085</v>
      </c>
      <c r="H5" s="1662">
        <v>10747</v>
      </c>
      <c r="I5" s="38">
        <v>10730</v>
      </c>
      <c r="J5" s="38">
        <v>8378</v>
      </c>
      <c r="K5" s="795"/>
      <c r="L5" s="380">
        <f t="shared" si="2"/>
        <v>-0.1633004690341725</v>
      </c>
      <c r="M5" s="1659">
        <f t="shared" si="3"/>
        <v>43705</v>
      </c>
      <c r="N5" s="1659">
        <f t="shared" si="3"/>
        <v>52235</v>
      </c>
      <c r="O5" s="1659">
        <f t="shared" si="4"/>
        <v>38377</v>
      </c>
      <c r="P5" s="1660"/>
      <c r="Q5" s="132">
        <f t="shared" si="5"/>
        <v>-0.33582207682566484</v>
      </c>
      <c r="R5" s="274">
        <v>25175</v>
      </c>
      <c r="S5" s="274">
        <v>37904</v>
      </c>
      <c r="T5" s="274">
        <v>28293</v>
      </c>
      <c r="U5" s="199"/>
      <c r="V5" s="120">
        <f t="shared" si="6"/>
        <v>-0.23584685874038985</v>
      </c>
      <c r="W5" s="1663">
        <f t="shared" si="7"/>
        <v>68880</v>
      </c>
      <c r="X5" s="121">
        <f t="shared" si="7"/>
        <v>90139</v>
      </c>
      <c r="Y5" s="121">
        <f t="shared" si="8"/>
        <v>66670</v>
      </c>
      <c r="Z5" s="122"/>
    </row>
    <row r="6" spans="1:26" s="749" customFormat="1" ht="12.75">
      <c r="A6" s="539" t="s">
        <v>15</v>
      </c>
      <c r="B6" s="218">
        <f t="shared" si="0"/>
        <v>-0.08732640787315472</v>
      </c>
      <c r="C6" s="223">
        <v>41732</v>
      </c>
      <c r="D6" s="265">
        <v>45725</v>
      </c>
      <c r="E6" s="223">
        <v>52350</v>
      </c>
      <c r="F6" s="224"/>
      <c r="G6" s="119">
        <f t="shared" si="1"/>
        <v>0.04996591683708248</v>
      </c>
      <c r="H6" s="1662">
        <v>15403</v>
      </c>
      <c r="I6" s="38">
        <v>14670</v>
      </c>
      <c r="J6" s="38">
        <v>14941</v>
      </c>
      <c r="K6" s="795"/>
      <c r="L6" s="380">
        <f t="shared" si="2"/>
        <v>-0.0539779783094627</v>
      </c>
      <c r="M6" s="1659">
        <f t="shared" si="3"/>
        <v>57135</v>
      </c>
      <c r="N6" s="1659">
        <f t="shared" si="3"/>
        <v>60395</v>
      </c>
      <c r="O6" s="1659">
        <f t="shared" si="4"/>
        <v>67291</v>
      </c>
      <c r="P6" s="1660"/>
      <c r="Q6" s="132">
        <f t="shared" si="5"/>
        <v>-0.136036290012558</v>
      </c>
      <c r="R6" s="274">
        <v>33711</v>
      </c>
      <c r="S6" s="274">
        <v>39019</v>
      </c>
      <c r="T6" s="274">
        <v>41557</v>
      </c>
      <c r="U6" s="199"/>
      <c r="V6" s="120">
        <f t="shared" si="6"/>
        <v>-0.08618504435994931</v>
      </c>
      <c r="W6" s="1663">
        <f t="shared" si="7"/>
        <v>90846</v>
      </c>
      <c r="X6" s="121">
        <f t="shared" si="7"/>
        <v>99414</v>
      </c>
      <c r="Y6" s="121">
        <f t="shared" si="8"/>
        <v>108848</v>
      </c>
      <c r="Z6" s="122"/>
    </row>
    <row r="7" spans="1:26" s="749" customFormat="1" ht="12.75">
      <c r="A7" s="539" t="s">
        <v>16</v>
      </c>
      <c r="B7" s="218">
        <f t="shared" si="0"/>
        <v>-0.0021765153988464467</v>
      </c>
      <c r="C7" s="223">
        <v>36676</v>
      </c>
      <c r="D7" s="265">
        <v>36756</v>
      </c>
      <c r="E7" s="223">
        <v>35470</v>
      </c>
      <c r="F7" s="224"/>
      <c r="G7" s="119">
        <f t="shared" si="1"/>
        <v>-0.032810580328105805</v>
      </c>
      <c r="H7" s="1662">
        <v>13383</v>
      </c>
      <c r="I7" s="38">
        <v>13837</v>
      </c>
      <c r="J7" s="38">
        <v>13801</v>
      </c>
      <c r="K7" s="795"/>
      <c r="L7" s="380">
        <f t="shared" si="2"/>
        <v>-0.010554819836736307</v>
      </c>
      <c r="M7" s="1659">
        <f aca="true" t="shared" si="9" ref="M7:N9">+C7+H7</f>
        <v>50059</v>
      </c>
      <c r="N7" s="1659">
        <f t="shared" si="9"/>
        <v>50593</v>
      </c>
      <c r="O7" s="1659">
        <f t="shared" si="4"/>
        <v>49271</v>
      </c>
      <c r="P7" s="1660"/>
      <c r="Q7" s="132">
        <f t="shared" si="5"/>
        <v>0.0642144853524723</v>
      </c>
      <c r="R7" s="274">
        <v>30842</v>
      </c>
      <c r="S7" s="274">
        <v>28981</v>
      </c>
      <c r="T7" s="274">
        <v>30169</v>
      </c>
      <c r="U7" s="199"/>
      <c r="V7" s="120">
        <f t="shared" si="6"/>
        <v>0.016676301304446178</v>
      </c>
      <c r="W7" s="1663">
        <f aca="true" t="shared" si="10" ref="W7:X9">+M7+R7</f>
        <v>80901</v>
      </c>
      <c r="X7" s="121">
        <f t="shared" si="10"/>
        <v>79574</v>
      </c>
      <c r="Y7" s="121">
        <f t="shared" si="8"/>
        <v>79440</v>
      </c>
      <c r="Z7" s="122"/>
    </row>
    <row r="8" spans="1:26" s="749" customFormat="1" ht="12.75">
      <c r="A8" s="539" t="s">
        <v>17</v>
      </c>
      <c r="B8" s="218">
        <f t="shared" si="0"/>
        <v>0.0033902509612601813</v>
      </c>
      <c r="C8" s="223">
        <v>48538</v>
      </c>
      <c r="D8" s="265">
        <v>48374</v>
      </c>
      <c r="E8" s="223">
        <v>43563</v>
      </c>
      <c r="F8" s="224"/>
      <c r="G8" s="119">
        <f t="shared" si="1"/>
        <v>0.14338870431893688</v>
      </c>
      <c r="H8" s="1662">
        <v>17208</v>
      </c>
      <c r="I8" s="38">
        <v>15050</v>
      </c>
      <c r="J8" s="38">
        <v>16019</v>
      </c>
      <c r="K8" s="795"/>
      <c r="L8" s="380">
        <f t="shared" si="2"/>
        <v>0.03661074672048436</v>
      </c>
      <c r="M8" s="1659">
        <f t="shared" si="9"/>
        <v>65746</v>
      </c>
      <c r="N8" s="1659">
        <f t="shared" si="9"/>
        <v>63424</v>
      </c>
      <c r="O8" s="1659">
        <f t="shared" si="4"/>
        <v>59582</v>
      </c>
      <c r="P8" s="1660"/>
      <c r="Q8" s="132">
        <f t="shared" si="5"/>
        <v>0.06611195158850226</v>
      </c>
      <c r="R8" s="274">
        <v>42282</v>
      </c>
      <c r="S8" s="274">
        <v>39660</v>
      </c>
      <c r="T8" s="274">
        <v>32836</v>
      </c>
      <c r="U8" s="199"/>
      <c r="V8" s="120">
        <f t="shared" si="6"/>
        <v>0.047960886267509995</v>
      </c>
      <c r="W8" s="1663">
        <f t="shared" si="10"/>
        <v>108028</v>
      </c>
      <c r="X8" s="121">
        <f t="shared" si="10"/>
        <v>103084</v>
      </c>
      <c r="Y8" s="121">
        <f t="shared" si="8"/>
        <v>92418</v>
      </c>
      <c r="Z8" s="122"/>
    </row>
    <row r="9" spans="1:26" s="749" customFormat="1" ht="12.75">
      <c r="A9" s="539" t="s">
        <v>18</v>
      </c>
      <c r="B9" s="218">
        <f t="shared" si="0"/>
        <v>0.04263090468013193</v>
      </c>
      <c r="C9" s="223">
        <v>38251</v>
      </c>
      <c r="D9" s="223">
        <v>36687</v>
      </c>
      <c r="E9" s="223">
        <v>44319</v>
      </c>
      <c r="F9" s="224"/>
      <c r="G9" s="119">
        <f t="shared" si="1"/>
        <v>0.031545741324921134</v>
      </c>
      <c r="H9" s="1662">
        <v>10791</v>
      </c>
      <c r="I9" s="123">
        <v>10461</v>
      </c>
      <c r="J9" s="123">
        <v>16672</v>
      </c>
      <c r="K9" s="795"/>
      <c r="L9" s="380">
        <f t="shared" si="2"/>
        <v>0.04017137524391279</v>
      </c>
      <c r="M9" s="1659">
        <f t="shared" si="9"/>
        <v>49042</v>
      </c>
      <c r="N9" s="1659">
        <f t="shared" si="9"/>
        <v>47148</v>
      </c>
      <c r="O9" s="1659">
        <f t="shared" si="4"/>
        <v>60991</v>
      </c>
      <c r="P9" s="1660"/>
      <c r="Q9" s="132">
        <f t="shared" si="5"/>
        <v>-0.1334029368179981</v>
      </c>
      <c r="R9" s="274">
        <v>25731</v>
      </c>
      <c r="S9" s="222">
        <v>29692</v>
      </c>
      <c r="T9" s="222">
        <v>37924</v>
      </c>
      <c r="U9" s="199"/>
      <c r="V9" s="120">
        <f t="shared" si="6"/>
        <v>-0.02690005205622072</v>
      </c>
      <c r="W9" s="1663">
        <f t="shared" si="10"/>
        <v>74773</v>
      </c>
      <c r="X9" s="121">
        <f t="shared" si="10"/>
        <v>76840</v>
      </c>
      <c r="Y9" s="121">
        <f t="shared" si="8"/>
        <v>98915</v>
      </c>
      <c r="Z9" s="122"/>
    </row>
    <row r="10" spans="1:26" s="749" customFormat="1" ht="12.75">
      <c r="A10" s="539" t="s">
        <v>19</v>
      </c>
      <c r="B10" s="218"/>
      <c r="C10" s="223"/>
      <c r="D10" s="223">
        <v>42417</v>
      </c>
      <c r="E10" s="223">
        <v>38104</v>
      </c>
      <c r="F10" s="224">
        <v>39669</v>
      </c>
      <c r="G10" s="1662"/>
      <c r="H10" s="1662"/>
      <c r="I10" s="123">
        <v>15233</v>
      </c>
      <c r="J10" s="123">
        <v>14929</v>
      </c>
      <c r="K10" s="795">
        <v>15273</v>
      </c>
      <c r="L10" s="1659"/>
      <c r="M10" s="1659"/>
      <c r="N10" s="1659">
        <f aca="true" t="shared" si="11" ref="N10:N15">+D10+I10</f>
        <v>57650</v>
      </c>
      <c r="O10" s="1659">
        <f aca="true" t="shared" si="12" ref="O10:P15">+E10+J10</f>
        <v>53033</v>
      </c>
      <c r="P10" s="1660">
        <f t="shared" si="12"/>
        <v>54942</v>
      </c>
      <c r="Q10" s="1664"/>
      <c r="R10" s="274"/>
      <c r="S10" s="222">
        <v>37690</v>
      </c>
      <c r="T10" s="222">
        <v>28480</v>
      </c>
      <c r="U10" s="199">
        <v>28510</v>
      </c>
      <c r="V10" s="1663"/>
      <c r="W10" s="1663"/>
      <c r="X10" s="121">
        <f aca="true" t="shared" si="13" ref="X10:X15">+N10+S10</f>
        <v>95340</v>
      </c>
      <c r="Y10" s="121">
        <f aca="true" t="shared" si="14" ref="Y10:Z16">+O10+T10</f>
        <v>81513</v>
      </c>
      <c r="Z10" s="122">
        <f t="shared" si="14"/>
        <v>83452</v>
      </c>
    </row>
    <row r="11" spans="1:26" s="749" customFormat="1" ht="12.75">
      <c r="A11" s="539" t="s">
        <v>20</v>
      </c>
      <c r="B11" s="218"/>
      <c r="C11" s="223"/>
      <c r="D11" s="223">
        <v>55289</v>
      </c>
      <c r="E11" s="223">
        <v>43068</v>
      </c>
      <c r="F11" s="224">
        <v>40712</v>
      </c>
      <c r="G11" s="1662"/>
      <c r="H11" s="1662"/>
      <c r="I11" s="123">
        <v>18796</v>
      </c>
      <c r="J11" s="123">
        <v>15105</v>
      </c>
      <c r="K11" s="795">
        <v>12222</v>
      </c>
      <c r="L11" s="1659"/>
      <c r="M11" s="1659"/>
      <c r="N11" s="1659">
        <f t="shared" si="11"/>
        <v>74085</v>
      </c>
      <c r="O11" s="1659">
        <f t="shared" si="12"/>
        <v>58173</v>
      </c>
      <c r="P11" s="1660">
        <f t="shared" si="12"/>
        <v>52934</v>
      </c>
      <c r="Q11" s="1664"/>
      <c r="R11" s="274"/>
      <c r="S11" s="222">
        <v>45601</v>
      </c>
      <c r="T11" s="222">
        <v>36365</v>
      </c>
      <c r="U11" s="199">
        <v>31407</v>
      </c>
      <c r="V11" s="1663"/>
      <c r="W11" s="1663"/>
      <c r="X11" s="121">
        <f t="shared" si="13"/>
        <v>119686</v>
      </c>
      <c r="Y11" s="121">
        <f t="shared" si="14"/>
        <v>94538</v>
      </c>
      <c r="Z11" s="122">
        <f t="shared" si="14"/>
        <v>84341</v>
      </c>
    </row>
    <row r="12" spans="1:26" s="749" customFormat="1" ht="12.75">
      <c r="A12" s="539" t="s">
        <v>21</v>
      </c>
      <c r="B12" s="218"/>
      <c r="C12" s="223"/>
      <c r="D12" s="223">
        <v>44726</v>
      </c>
      <c r="E12" s="223">
        <v>52377</v>
      </c>
      <c r="F12" s="224">
        <v>48323</v>
      </c>
      <c r="G12" s="1662"/>
      <c r="H12" s="1662"/>
      <c r="I12" s="123">
        <v>14691</v>
      </c>
      <c r="J12" s="123">
        <v>19198</v>
      </c>
      <c r="K12" s="795">
        <v>15468</v>
      </c>
      <c r="L12" s="1659"/>
      <c r="M12" s="1659"/>
      <c r="N12" s="1659">
        <f t="shared" si="11"/>
        <v>59417</v>
      </c>
      <c r="O12" s="1659">
        <f t="shared" si="12"/>
        <v>71575</v>
      </c>
      <c r="P12" s="1660">
        <f t="shared" si="12"/>
        <v>63791</v>
      </c>
      <c r="Q12" s="1664"/>
      <c r="R12" s="274"/>
      <c r="S12" s="222">
        <v>37460</v>
      </c>
      <c r="T12" s="222">
        <v>41678</v>
      </c>
      <c r="U12" s="199">
        <v>39396</v>
      </c>
      <c r="V12" s="1663"/>
      <c r="W12" s="1663"/>
      <c r="X12" s="121">
        <f t="shared" si="13"/>
        <v>96877</v>
      </c>
      <c r="Y12" s="121">
        <f t="shared" si="14"/>
        <v>113253</v>
      </c>
      <c r="Z12" s="122">
        <f t="shared" si="14"/>
        <v>103187</v>
      </c>
    </row>
    <row r="13" spans="1:26" s="749" customFormat="1" ht="12.75">
      <c r="A13" s="539" t="s">
        <v>22</v>
      </c>
      <c r="B13" s="218"/>
      <c r="C13" s="223"/>
      <c r="D13" s="223">
        <v>46413</v>
      </c>
      <c r="E13" s="223">
        <v>34709</v>
      </c>
      <c r="F13" s="224">
        <v>46962</v>
      </c>
      <c r="G13" s="1662"/>
      <c r="H13" s="1662"/>
      <c r="I13" s="123">
        <v>15751</v>
      </c>
      <c r="J13" s="123">
        <v>12897</v>
      </c>
      <c r="K13" s="795">
        <v>15529</v>
      </c>
      <c r="L13" s="1659"/>
      <c r="M13" s="1659"/>
      <c r="N13" s="1659">
        <f t="shared" si="11"/>
        <v>62164</v>
      </c>
      <c r="O13" s="1659">
        <f t="shared" si="12"/>
        <v>47606</v>
      </c>
      <c r="P13" s="1660">
        <f t="shared" si="12"/>
        <v>62491</v>
      </c>
      <c r="Q13" s="1664"/>
      <c r="R13" s="274"/>
      <c r="S13" s="222">
        <v>41875</v>
      </c>
      <c r="T13" s="222">
        <v>29757</v>
      </c>
      <c r="U13" s="199">
        <v>40409</v>
      </c>
      <c r="V13" s="1663"/>
      <c r="W13" s="1663"/>
      <c r="X13" s="121">
        <f t="shared" si="13"/>
        <v>104039</v>
      </c>
      <c r="Y13" s="121">
        <f t="shared" si="14"/>
        <v>77363</v>
      </c>
      <c r="Z13" s="122">
        <f t="shared" si="14"/>
        <v>102900</v>
      </c>
    </row>
    <row r="14" spans="1:26" s="749" customFormat="1" ht="12.75">
      <c r="A14" s="539" t="s">
        <v>23</v>
      </c>
      <c r="B14" s="218"/>
      <c r="C14" s="223"/>
      <c r="D14" s="223">
        <v>45037</v>
      </c>
      <c r="E14" s="223">
        <v>46694</v>
      </c>
      <c r="F14" s="224">
        <v>38949</v>
      </c>
      <c r="G14" s="1662"/>
      <c r="H14" s="1662"/>
      <c r="I14" s="123">
        <v>16140</v>
      </c>
      <c r="J14" s="123">
        <v>14671</v>
      </c>
      <c r="K14" s="795">
        <v>12663</v>
      </c>
      <c r="L14" s="1659"/>
      <c r="M14" s="1659"/>
      <c r="N14" s="1659">
        <f t="shared" si="11"/>
        <v>61177</v>
      </c>
      <c r="O14" s="1659">
        <f t="shared" si="12"/>
        <v>61365</v>
      </c>
      <c r="P14" s="1660">
        <f t="shared" si="12"/>
        <v>51612</v>
      </c>
      <c r="Q14" s="1664"/>
      <c r="R14" s="274"/>
      <c r="S14" s="222">
        <v>34409</v>
      </c>
      <c r="T14" s="222">
        <v>39546</v>
      </c>
      <c r="U14" s="199">
        <v>30798</v>
      </c>
      <c r="V14" s="1663"/>
      <c r="W14" s="1663"/>
      <c r="X14" s="121">
        <f t="shared" si="13"/>
        <v>95586</v>
      </c>
      <c r="Y14" s="121">
        <f t="shared" si="14"/>
        <v>100911</v>
      </c>
      <c r="Z14" s="122">
        <f t="shared" si="14"/>
        <v>82410</v>
      </c>
    </row>
    <row r="15" spans="1:26" s="749" customFormat="1" ht="13.5" thickBot="1">
      <c r="A15" s="988" t="s">
        <v>24</v>
      </c>
      <c r="B15" s="453"/>
      <c r="C15" s="832"/>
      <c r="D15" s="832">
        <v>45859</v>
      </c>
      <c r="E15" s="832">
        <v>49979</v>
      </c>
      <c r="F15" s="1021">
        <v>48322</v>
      </c>
      <c r="G15" s="1665"/>
      <c r="H15" s="1665"/>
      <c r="I15" s="675">
        <v>12664</v>
      </c>
      <c r="J15" s="675">
        <v>14962</v>
      </c>
      <c r="K15" s="868">
        <v>14071</v>
      </c>
      <c r="L15" s="1666"/>
      <c r="M15" s="1666"/>
      <c r="N15" s="1666">
        <f t="shared" si="11"/>
        <v>58523</v>
      </c>
      <c r="O15" s="1666">
        <f t="shared" si="12"/>
        <v>64941</v>
      </c>
      <c r="P15" s="1667">
        <f t="shared" si="12"/>
        <v>62393</v>
      </c>
      <c r="Q15" s="1668"/>
      <c r="R15" s="1020"/>
      <c r="S15" s="1669">
        <v>39020</v>
      </c>
      <c r="T15" s="1669">
        <v>43895</v>
      </c>
      <c r="U15" s="1670">
        <v>41601</v>
      </c>
      <c r="V15" s="1671"/>
      <c r="W15" s="1671"/>
      <c r="X15" s="555">
        <f t="shared" si="13"/>
        <v>97543</v>
      </c>
      <c r="Y15" s="555">
        <f t="shared" si="14"/>
        <v>108836</v>
      </c>
      <c r="Z15" s="556">
        <f t="shared" si="14"/>
        <v>103994</v>
      </c>
    </row>
    <row r="16" spans="1:26" s="749" customFormat="1" ht="12.75">
      <c r="A16" s="499" t="s">
        <v>25</v>
      </c>
      <c r="B16" s="396">
        <f>SUM(C16-D16)/D16</f>
        <v>0.022065211573222</v>
      </c>
      <c r="C16" s="746">
        <f>SUM(C4:C9)</f>
        <v>248230</v>
      </c>
      <c r="D16" s="746">
        <f>SUM(D4:D9)</f>
        <v>242871</v>
      </c>
      <c r="E16" s="746">
        <f>SUM(E4:E9)</f>
        <v>250910</v>
      </c>
      <c r="F16" s="1672"/>
      <c r="G16" s="396">
        <f>SUM(H16-I16)/I16</f>
        <v>0.05905295328704237</v>
      </c>
      <c r="H16" s="746">
        <f>SUM(H4:H9)</f>
        <v>82819</v>
      </c>
      <c r="I16" s="746">
        <f>SUM(I4:I9)</f>
        <v>78201</v>
      </c>
      <c r="J16" s="746">
        <f>SUM(J4:J9)</f>
        <v>83680</v>
      </c>
      <c r="K16" s="1673"/>
      <c r="L16" s="1019">
        <f>SUM(M16-N16)/N16</f>
        <v>0.031074027009518113</v>
      </c>
      <c r="M16" s="1674">
        <f>+C16+H16</f>
        <v>331049</v>
      </c>
      <c r="N16" s="1674">
        <f>+D16+I16</f>
        <v>321072</v>
      </c>
      <c r="O16" s="938">
        <f>+E16+J16</f>
        <v>334590</v>
      </c>
      <c r="P16" s="1675"/>
      <c r="Q16" s="396">
        <f>SUM(R16-S16)/S16</f>
        <v>-0.018331974690423507</v>
      </c>
      <c r="R16" s="746">
        <f>SUM(R4:R9)</f>
        <v>202310</v>
      </c>
      <c r="S16" s="746">
        <f>SUM(S4:S9)</f>
        <v>206088</v>
      </c>
      <c r="T16" s="746">
        <f>SUM(T4:T9)</f>
        <v>211344</v>
      </c>
      <c r="U16" s="1672"/>
      <c r="V16" s="396">
        <f>SUM(W16-X16)/X16</f>
        <v>0.011759238181956143</v>
      </c>
      <c r="W16" s="399">
        <f>+M16+R16</f>
        <v>533359</v>
      </c>
      <c r="X16" s="399">
        <f>+N16+S16</f>
        <v>527160</v>
      </c>
      <c r="Y16" s="399">
        <f t="shared" si="14"/>
        <v>545934</v>
      </c>
      <c r="Z16" s="1676"/>
    </row>
    <row r="17" spans="1:26" s="749" customFormat="1" ht="13.5" thickBot="1">
      <c r="A17" s="355" t="s">
        <v>28</v>
      </c>
      <c r="B17" s="313">
        <f>SUM(C17-D17)/D17</f>
        <v>0.023008681325644764</v>
      </c>
      <c r="C17" s="295">
        <f>AVERAGE(C4:C7)</f>
        <v>40360.25</v>
      </c>
      <c r="D17" s="295">
        <f>AVERAGE(D4:D7)</f>
        <v>39452.5</v>
      </c>
      <c r="E17" s="102">
        <f>AVERAGE(E4:E15)</f>
        <v>42986.75</v>
      </c>
      <c r="F17" s="1677"/>
      <c r="G17" s="313">
        <f>SUM(H17-I17)/I17</f>
        <v>0.04042512810780034</v>
      </c>
      <c r="H17" s="295">
        <f>AVERAGE(H4:H7)</f>
        <v>13705</v>
      </c>
      <c r="I17" s="295">
        <f>AVERAGE(I4:I7)</f>
        <v>13172.5</v>
      </c>
      <c r="J17" s="102">
        <f>AVERAGE(J4:J15)</f>
        <v>14620.166666666666</v>
      </c>
      <c r="K17" s="1678"/>
      <c r="L17" s="879">
        <f>SUM(M17-N17)/N17</f>
        <v>0.02736817102137767</v>
      </c>
      <c r="M17" s="295">
        <f>AVERAGE(M4:M7)</f>
        <v>54065.25</v>
      </c>
      <c r="N17" s="295">
        <f>AVERAGE(N4:N7)</f>
        <v>52625</v>
      </c>
      <c r="O17" s="101">
        <f>AVERAGE(O4:O15)</f>
        <v>57606.916666666664</v>
      </c>
      <c r="P17" s="1675"/>
      <c r="Q17" s="313">
        <f>SUM(R17-S17)/S17</f>
        <v>-0.01783729230049146</v>
      </c>
      <c r="R17" s="295">
        <f>AVERAGE(R4:R7)</f>
        <v>33574.25</v>
      </c>
      <c r="S17" s="295">
        <f>AVERAGE(S4:S7)</f>
        <v>34184</v>
      </c>
      <c r="T17" s="102">
        <f>AVERAGE(T4:T15)</f>
        <v>35922.083333333336</v>
      </c>
      <c r="U17" s="1677"/>
      <c r="V17" s="313">
        <f>SUM(W17-X17)/X17</f>
        <v>0.009566980382218433</v>
      </c>
      <c r="W17" s="295">
        <f>AVERAGE(W4:W7)</f>
        <v>87639.5</v>
      </c>
      <c r="X17" s="295">
        <f>AVERAGE(X4:X7)</f>
        <v>86809</v>
      </c>
      <c r="Y17" s="102">
        <f>AVERAGE(Y4:Y15)</f>
        <v>93529</v>
      </c>
      <c r="Z17" s="1679"/>
    </row>
    <row r="18" s="749" customFormat="1" ht="12.75">
      <c r="A18" s="534" t="s">
        <v>187</v>
      </c>
    </row>
  </sheetData>
  <mergeCells count="7">
    <mergeCell ref="A1:A2"/>
    <mergeCell ref="V1:Z1"/>
    <mergeCell ref="B3:F3"/>
    <mergeCell ref="G3:K3"/>
    <mergeCell ref="L3:P3"/>
    <mergeCell ref="Q3:U3"/>
    <mergeCell ref="V3:Z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80"/>
  <sheetViews>
    <sheetView workbookViewId="0" topLeftCell="A5">
      <selection activeCell="A19" sqref="A19:IV25"/>
    </sheetView>
  </sheetViews>
  <sheetFormatPr defaultColWidth="9.140625" defaultRowHeight="12.75"/>
  <cols>
    <col min="1" max="1" width="14.421875" style="0" customWidth="1"/>
    <col min="2" max="2" width="7.00390625" style="270" customWidth="1"/>
    <col min="3" max="9" width="7.7109375" style="270" customWidth="1"/>
    <col min="10" max="10" width="7.00390625" style="270" customWidth="1"/>
    <col min="11" max="16" width="7.7109375" style="270" customWidth="1"/>
    <col min="17" max="17" width="7.00390625" style="0" customWidth="1"/>
    <col min="18" max="24" width="6.57421875" style="0" customWidth="1"/>
    <col min="25" max="25" width="7.00390625" style="270" customWidth="1"/>
    <col min="26" max="32" width="7.7109375" style="270" customWidth="1"/>
    <col min="33" max="33" width="7.00390625" style="270" customWidth="1"/>
    <col min="34" max="34" width="7.8515625" style="270" customWidth="1"/>
    <col min="35" max="40" width="6.57421875" style="270" customWidth="1"/>
    <col min="41" max="41" width="9.140625" style="1030" customWidth="1"/>
    <col min="42" max="57" width="9.140625" style="318" customWidth="1"/>
    <col min="58" max="58" width="9.140625" style="1031" customWidth="1"/>
  </cols>
  <sheetData>
    <row r="1" spans="1:58" s="749" customFormat="1" ht="13.5" thickBot="1">
      <c r="A1" s="1866" t="s">
        <v>117</v>
      </c>
      <c r="B1" s="1933"/>
      <c r="C1" s="1883"/>
      <c r="D1" s="1883"/>
      <c r="E1" s="1883"/>
      <c r="F1" s="1883"/>
      <c r="G1" s="1883"/>
      <c r="H1" s="1883"/>
      <c r="I1" s="1883"/>
      <c r="J1" s="1883"/>
      <c r="K1" s="1883"/>
      <c r="L1" s="1883"/>
      <c r="M1" s="1883"/>
      <c r="N1" s="1883"/>
      <c r="O1" s="1883"/>
      <c r="P1" s="1883"/>
      <c r="Q1" s="1904"/>
      <c r="R1" s="1904"/>
      <c r="S1" s="1904"/>
      <c r="T1" s="1904"/>
      <c r="U1" s="1904"/>
      <c r="V1" s="1904"/>
      <c r="W1" s="1904"/>
      <c r="X1" s="1904"/>
      <c r="Y1" s="1904"/>
      <c r="Z1" s="1904"/>
      <c r="AA1" s="1904"/>
      <c r="AB1" s="1904"/>
      <c r="AC1" s="1904"/>
      <c r="AD1" s="1904"/>
      <c r="AE1" s="1904"/>
      <c r="AF1" s="1904"/>
      <c r="AG1" s="1904"/>
      <c r="AH1" s="1904"/>
      <c r="AI1" s="1904"/>
      <c r="AJ1" s="1904"/>
      <c r="AK1" s="1904"/>
      <c r="AL1" s="1904"/>
      <c r="AM1" s="1904"/>
      <c r="AN1" s="1934"/>
      <c r="AO1" s="1024"/>
      <c r="AP1" s="1024"/>
      <c r="AQ1" s="1024"/>
      <c r="AR1" s="1024"/>
      <c r="AS1" s="1024"/>
      <c r="AT1" s="1024"/>
      <c r="AU1" s="1024"/>
      <c r="AV1" s="1024"/>
      <c r="AW1" s="1024"/>
      <c r="AX1" s="1024"/>
      <c r="AY1" s="1024"/>
      <c r="AZ1" s="1024"/>
      <c r="BA1" s="1024"/>
      <c r="BB1" s="1024"/>
      <c r="BC1" s="1024"/>
      <c r="BD1" s="1024"/>
      <c r="BE1" s="1024"/>
      <c r="BF1" s="1025"/>
    </row>
    <row r="2" spans="1:58" s="749" customFormat="1" ht="13.5" thickBot="1">
      <c r="A2" s="1902"/>
      <c r="B2" s="663" t="s">
        <v>44</v>
      </c>
      <c r="C2" s="466">
        <v>2008</v>
      </c>
      <c r="D2" s="466">
        <v>2007</v>
      </c>
      <c r="E2" s="466">
        <v>2006</v>
      </c>
      <c r="F2" s="466">
        <v>2005</v>
      </c>
      <c r="G2" s="466">
        <v>2004</v>
      </c>
      <c r="H2" s="466">
        <v>2003</v>
      </c>
      <c r="I2" s="695">
        <v>2002</v>
      </c>
      <c r="J2" s="117" t="s">
        <v>44</v>
      </c>
      <c r="K2" s="112">
        <v>2008</v>
      </c>
      <c r="L2" s="112">
        <v>2007</v>
      </c>
      <c r="M2" s="112">
        <v>2005</v>
      </c>
      <c r="N2" s="112">
        <v>2004</v>
      </c>
      <c r="O2" s="112">
        <v>2003</v>
      </c>
      <c r="P2" s="113">
        <v>2002</v>
      </c>
      <c r="Q2" s="1017" t="s">
        <v>44</v>
      </c>
      <c r="R2" s="177">
        <v>2008</v>
      </c>
      <c r="S2" s="177">
        <v>2007</v>
      </c>
      <c r="T2" s="177">
        <v>2006</v>
      </c>
      <c r="U2" s="177">
        <v>2005</v>
      </c>
      <c r="V2" s="177">
        <v>2004</v>
      </c>
      <c r="W2" s="177">
        <v>2003</v>
      </c>
      <c r="X2" s="178">
        <v>2002</v>
      </c>
      <c r="Y2" s="1018" t="s">
        <v>44</v>
      </c>
      <c r="Z2" s="130">
        <v>2008</v>
      </c>
      <c r="AA2" s="258">
        <v>2007</v>
      </c>
      <c r="AB2" s="258">
        <v>2006</v>
      </c>
      <c r="AC2" s="259">
        <v>2005</v>
      </c>
      <c r="AD2" s="259">
        <v>2004</v>
      </c>
      <c r="AE2" s="259">
        <v>2003</v>
      </c>
      <c r="AF2" s="260">
        <v>2002</v>
      </c>
      <c r="AG2" s="118" t="s">
        <v>44</v>
      </c>
      <c r="AH2" s="114">
        <v>2008</v>
      </c>
      <c r="AI2" s="262">
        <v>2007</v>
      </c>
      <c r="AJ2" s="262">
        <v>2006</v>
      </c>
      <c r="AK2" s="156">
        <v>2005</v>
      </c>
      <c r="AL2" s="156">
        <v>2004</v>
      </c>
      <c r="AM2" s="156">
        <v>2003</v>
      </c>
      <c r="AN2" s="157">
        <v>2002</v>
      </c>
      <c r="AO2" s="787"/>
      <c r="AP2" s="787"/>
      <c r="AQ2" s="787"/>
      <c r="AR2" s="787"/>
      <c r="AS2" s="787"/>
      <c r="AT2" s="787"/>
      <c r="AU2" s="787"/>
      <c r="AV2" s="787"/>
      <c r="AW2" s="787"/>
      <c r="AX2" s="787"/>
      <c r="AY2" s="787"/>
      <c r="AZ2" s="787"/>
      <c r="BA2" s="787"/>
      <c r="BB2" s="787"/>
      <c r="BC2" s="787"/>
      <c r="BD2" s="787"/>
      <c r="BE2" s="787"/>
      <c r="BF2" s="1026"/>
    </row>
    <row r="3" spans="1:58" s="789" customFormat="1" ht="13.5" thickBot="1">
      <c r="A3" s="309"/>
      <c r="B3" s="1894" t="s">
        <v>100</v>
      </c>
      <c r="C3" s="1895"/>
      <c r="D3" s="1895"/>
      <c r="E3" s="1895"/>
      <c r="F3" s="1895"/>
      <c r="G3" s="1895"/>
      <c r="H3" s="1895"/>
      <c r="I3" s="1949"/>
      <c r="J3" s="1895" t="s">
        <v>69</v>
      </c>
      <c r="K3" s="1895"/>
      <c r="L3" s="1895"/>
      <c r="M3" s="1895"/>
      <c r="N3" s="1895"/>
      <c r="O3" s="1895"/>
      <c r="P3" s="1949"/>
      <c r="Q3" s="1876" t="s">
        <v>71</v>
      </c>
      <c r="R3" s="1876"/>
      <c r="S3" s="1876"/>
      <c r="T3" s="1876"/>
      <c r="U3" s="1877"/>
      <c r="V3" s="1877"/>
      <c r="W3" s="1877"/>
      <c r="X3" s="1878"/>
      <c r="Y3" s="1890" t="s">
        <v>49</v>
      </c>
      <c r="Z3" s="1896"/>
      <c r="AA3" s="1896"/>
      <c r="AB3" s="1896"/>
      <c r="AC3" s="1896"/>
      <c r="AD3" s="1896"/>
      <c r="AE3" s="1896"/>
      <c r="AF3" s="1896"/>
      <c r="AG3" s="1875" t="s">
        <v>116</v>
      </c>
      <c r="AH3" s="1876"/>
      <c r="AI3" s="1876"/>
      <c r="AJ3" s="1877"/>
      <c r="AK3" s="1877"/>
      <c r="AL3" s="1877"/>
      <c r="AM3" s="1877"/>
      <c r="AN3" s="1878"/>
      <c r="AO3" s="788"/>
      <c r="AP3" s="788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  <c r="BC3" s="788"/>
      <c r="BD3" s="788"/>
      <c r="BE3" s="788"/>
      <c r="BF3" s="1027"/>
    </row>
    <row r="4" spans="1:58" s="749" customFormat="1" ht="12.75">
      <c r="A4" s="696" t="s">
        <v>13</v>
      </c>
      <c r="B4" s="209">
        <f aca="true" t="shared" si="0" ref="B4:B10">SUM(C4-D4)/D4</f>
        <v>-0.03699810805129283</v>
      </c>
      <c r="C4" s="483">
        <v>41229</v>
      </c>
      <c r="D4" s="483">
        <v>42813</v>
      </c>
      <c r="E4" s="483">
        <v>52842</v>
      </c>
      <c r="F4" s="483">
        <v>44742</v>
      </c>
      <c r="G4" s="483">
        <v>30564</v>
      </c>
      <c r="H4" s="483">
        <v>30032</v>
      </c>
      <c r="I4" s="484">
        <v>24443</v>
      </c>
      <c r="J4" s="141">
        <f aca="true" t="shared" si="1" ref="J4:J10">SUM(K4-L4)/L4</f>
        <v>0.20332516625831293</v>
      </c>
      <c r="K4" s="794">
        <v>68758</v>
      </c>
      <c r="L4" s="794">
        <v>57140</v>
      </c>
      <c r="M4" s="794">
        <v>54264</v>
      </c>
      <c r="N4" s="794">
        <v>41902</v>
      </c>
      <c r="O4" s="794">
        <v>46632</v>
      </c>
      <c r="P4" s="949">
        <v>39529</v>
      </c>
      <c r="Q4" s="213">
        <f aca="true" t="shared" si="2" ref="Q4:Q9">SUM(R4-S4)/S4</f>
        <v>0.1003871819755285</v>
      </c>
      <c r="R4" s="179">
        <f>+C4+K4</f>
        <v>109987</v>
      </c>
      <c r="S4" s="179">
        <f>+D4+L4</f>
        <v>99953</v>
      </c>
      <c r="T4" s="179">
        <f>+E4+L4</f>
        <v>109982</v>
      </c>
      <c r="U4" s="179">
        <f>+F4+M4</f>
        <v>99006</v>
      </c>
      <c r="V4" s="179">
        <f>+G4+N4</f>
        <v>72466</v>
      </c>
      <c r="W4" s="179">
        <f>+H4+O4</f>
        <v>76664</v>
      </c>
      <c r="X4" s="214">
        <f>+I4+P4</f>
        <v>63972</v>
      </c>
      <c r="Y4" s="1250">
        <f aca="true" t="shared" si="3" ref="Y4:Y10">SUM(Z4-AA4)/AA4</f>
        <v>0.5253184380872834</v>
      </c>
      <c r="Z4" s="215">
        <v>29219</v>
      </c>
      <c r="AA4" s="215">
        <v>19156</v>
      </c>
      <c r="AB4" s="215">
        <v>24435</v>
      </c>
      <c r="AC4" s="215">
        <v>18895</v>
      </c>
      <c r="AD4" s="215">
        <v>22797</v>
      </c>
      <c r="AE4" s="215">
        <v>15350</v>
      </c>
      <c r="AF4" s="232">
        <v>18533</v>
      </c>
      <c r="AG4" s="175">
        <f aca="true" t="shared" si="4" ref="AG4:AG9">SUM(AH4-AI4)/AI4</f>
        <v>0.16872780394428633</v>
      </c>
      <c r="AH4" s="197">
        <f>+R4+Z4</f>
        <v>139206</v>
      </c>
      <c r="AI4" s="197">
        <f>+S4+AA4</f>
        <v>119109</v>
      </c>
      <c r="AJ4" s="197">
        <f>+T4+AB4</f>
        <v>134417</v>
      </c>
      <c r="AK4" s="197">
        <f>+U4+AC4</f>
        <v>117901</v>
      </c>
      <c r="AL4" s="197">
        <f>+V4+AD4</f>
        <v>95263</v>
      </c>
      <c r="AM4" s="197">
        <f aca="true" t="shared" si="5" ref="AM4:AM15">+W4+AE4</f>
        <v>92014</v>
      </c>
      <c r="AN4" s="198">
        <f aca="true" t="shared" si="6" ref="AN4:AN15">+X4+AF4</f>
        <v>82505</v>
      </c>
      <c r="AO4" s="787"/>
      <c r="AP4" s="787"/>
      <c r="AQ4" s="787"/>
      <c r="AR4" s="787"/>
      <c r="AS4" s="787"/>
      <c r="AT4" s="787"/>
      <c r="AU4" s="787"/>
      <c r="AV4" s="787"/>
      <c r="AW4" s="787"/>
      <c r="AX4" s="787"/>
      <c r="AY4" s="787"/>
      <c r="AZ4" s="787"/>
      <c r="BA4" s="787"/>
      <c r="BB4" s="787"/>
      <c r="BC4" s="787"/>
      <c r="BD4" s="787"/>
      <c r="BE4" s="787"/>
      <c r="BF4" s="1026"/>
    </row>
    <row r="5" spans="1:58" s="749" customFormat="1" ht="12.75">
      <c r="A5" s="539" t="s">
        <v>14</v>
      </c>
      <c r="B5" s="218">
        <f t="shared" si="0"/>
        <v>0.035871443382098835</v>
      </c>
      <c r="C5" s="265">
        <v>44962</v>
      </c>
      <c r="D5" s="265">
        <v>43405</v>
      </c>
      <c r="E5" s="223">
        <v>48460</v>
      </c>
      <c r="F5" s="223">
        <v>41922</v>
      </c>
      <c r="G5" s="223">
        <v>35244</v>
      </c>
      <c r="H5" s="223">
        <v>29245</v>
      </c>
      <c r="I5" s="224">
        <v>29677</v>
      </c>
      <c r="J5" s="119">
        <f t="shared" si="1"/>
        <v>0.218061093353544</v>
      </c>
      <c r="K5" s="38">
        <v>73929</v>
      </c>
      <c r="L5" s="38">
        <v>60694</v>
      </c>
      <c r="M5" s="123">
        <v>50046</v>
      </c>
      <c r="N5" s="123">
        <v>47391</v>
      </c>
      <c r="O5" s="123">
        <v>48713</v>
      </c>
      <c r="P5" s="669">
        <v>47706</v>
      </c>
      <c r="Q5" s="220">
        <f t="shared" si="2"/>
        <v>0.14209550524020403</v>
      </c>
      <c r="R5" s="180">
        <f aca="true" t="shared" si="7" ref="R5:R10">+C5+K5</f>
        <v>118891</v>
      </c>
      <c r="S5" s="180">
        <f aca="true" t="shared" si="8" ref="S5:S12">+D5+L5</f>
        <v>104099</v>
      </c>
      <c r="T5" s="180">
        <f aca="true" t="shared" si="9" ref="T5:X10">+E5+L5</f>
        <v>109154</v>
      </c>
      <c r="U5" s="180">
        <f t="shared" si="9"/>
        <v>91968</v>
      </c>
      <c r="V5" s="180">
        <f t="shared" si="9"/>
        <v>82635</v>
      </c>
      <c r="W5" s="180">
        <f t="shared" si="9"/>
        <v>77958</v>
      </c>
      <c r="X5" s="221">
        <f t="shared" si="9"/>
        <v>77383</v>
      </c>
      <c r="Y5" s="1251">
        <f t="shared" si="3"/>
        <v>0.23025579370672858</v>
      </c>
      <c r="Z5" s="274">
        <v>29675</v>
      </c>
      <c r="AA5" s="274">
        <v>24121</v>
      </c>
      <c r="AB5" s="222">
        <v>20989</v>
      </c>
      <c r="AC5" s="222">
        <v>20255</v>
      </c>
      <c r="AD5" s="222">
        <v>21010</v>
      </c>
      <c r="AE5" s="222">
        <v>13701</v>
      </c>
      <c r="AF5" s="233">
        <v>20108</v>
      </c>
      <c r="AG5" s="120">
        <f t="shared" si="4"/>
        <v>0.15868039307440338</v>
      </c>
      <c r="AH5" s="121">
        <f aca="true" t="shared" si="10" ref="AH5:AH10">+R5+Z5</f>
        <v>148566</v>
      </c>
      <c r="AI5" s="121">
        <f aca="true" t="shared" si="11" ref="AI5:AI12">+S5+AA5</f>
        <v>128220</v>
      </c>
      <c r="AJ5" s="121">
        <f aca="true" t="shared" si="12" ref="AJ5:AJ16">+T5+AB5</f>
        <v>130143</v>
      </c>
      <c r="AK5" s="121">
        <f aca="true" t="shared" si="13" ref="AK5:AK16">+U5+AC5</f>
        <v>112223</v>
      </c>
      <c r="AL5" s="121">
        <f aca="true" t="shared" si="14" ref="AL5:AL16">+V5+AD5</f>
        <v>103645</v>
      </c>
      <c r="AM5" s="121">
        <f t="shared" si="5"/>
        <v>91659</v>
      </c>
      <c r="AN5" s="122">
        <f t="shared" si="6"/>
        <v>97491</v>
      </c>
      <c r="AO5" s="787"/>
      <c r="AP5" s="787"/>
      <c r="AQ5" s="787"/>
      <c r="AR5" s="787"/>
      <c r="AS5" s="787"/>
      <c r="AT5" s="787"/>
      <c r="AU5" s="787"/>
      <c r="AV5" s="787"/>
      <c r="AW5" s="787"/>
      <c r="AX5" s="787"/>
      <c r="AY5" s="787"/>
      <c r="AZ5" s="787"/>
      <c r="BA5" s="787"/>
      <c r="BB5" s="787"/>
      <c r="BC5" s="787"/>
      <c r="BD5" s="787"/>
      <c r="BE5" s="787"/>
      <c r="BF5" s="1026"/>
    </row>
    <row r="6" spans="1:58" s="749" customFormat="1" ht="12.75">
      <c r="A6" s="539" t="s">
        <v>15</v>
      </c>
      <c r="B6" s="218">
        <f t="shared" si="0"/>
        <v>-0.09652366140422951</v>
      </c>
      <c r="C6" s="265">
        <v>46183</v>
      </c>
      <c r="D6" s="223">
        <v>51117</v>
      </c>
      <c r="E6" s="223">
        <v>50455</v>
      </c>
      <c r="F6" s="223">
        <v>46354</v>
      </c>
      <c r="G6" s="223">
        <v>37746</v>
      </c>
      <c r="H6" s="223">
        <v>31615</v>
      </c>
      <c r="I6" s="224">
        <v>25747</v>
      </c>
      <c r="J6" s="119">
        <f t="shared" si="1"/>
        <v>0.06554354557225694</v>
      </c>
      <c r="K6" s="38">
        <v>75709</v>
      </c>
      <c r="L6" s="123">
        <v>71052</v>
      </c>
      <c r="M6" s="123">
        <v>59670</v>
      </c>
      <c r="N6" s="123">
        <v>55456</v>
      </c>
      <c r="O6" s="123">
        <v>47719</v>
      </c>
      <c r="P6" s="669">
        <v>45683</v>
      </c>
      <c r="Q6" s="220">
        <f t="shared" si="2"/>
        <v>-0.002267350964647333</v>
      </c>
      <c r="R6" s="180">
        <f t="shared" si="7"/>
        <v>121892</v>
      </c>
      <c r="S6" s="180">
        <f t="shared" si="8"/>
        <v>122169</v>
      </c>
      <c r="T6" s="180">
        <f t="shared" si="9"/>
        <v>121507</v>
      </c>
      <c r="U6" s="180">
        <f t="shared" si="9"/>
        <v>106024</v>
      </c>
      <c r="V6" s="180">
        <f t="shared" si="9"/>
        <v>93202</v>
      </c>
      <c r="W6" s="180">
        <f t="shared" si="9"/>
        <v>79334</v>
      </c>
      <c r="X6" s="221">
        <f t="shared" si="9"/>
        <v>71430</v>
      </c>
      <c r="Y6" s="1251">
        <f t="shared" si="3"/>
        <v>0.10962576153176676</v>
      </c>
      <c r="Z6" s="274">
        <v>31874</v>
      </c>
      <c r="AA6" s="222">
        <v>28725</v>
      </c>
      <c r="AB6" s="222">
        <v>26468</v>
      </c>
      <c r="AC6" s="222">
        <v>25257</v>
      </c>
      <c r="AD6" s="222">
        <v>22715</v>
      </c>
      <c r="AE6" s="222">
        <v>17489</v>
      </c>
      <c r="AF6" s="233">
        <v>21830</v>
      </c>
      <c r="AG6" s="120">
        <f t="shared" si="4"/>
        <v>0.019033228624067228</v>
      </c>
      <c r="AH6" s="121">
        <f t="shared" si="10"/>
        <v>153766</v>
      </c>
      <c r="AI6" s="121">
        <f t="shared" si="11"/>
        <v>150894</v>
      </c>
      <c r="AJ6" s="121">
        <f t="shared" si="12"/>
        <v>147975</v>
      </c>
      <c r="AK6" s="121">
        <f t="shared" si="13"/>
        <v>131281</v>
      </c>
      <c r="AL6" s="121">
        <f t="shared" si="14"/>
        <v>115917</v>
      </c>
      <c r="AM6" s="121">
        <f t="shared" si="5"/>
        <v>96823</v>
      </c>
      <c r="AN6" s="122">
        <f t="shared" si="6"/>
        <v>93260</v>
      </c>
      <c r="AO6" s="787"/>
      <c r="AP6" s="787"/>
      <c r="AQ6" s="787"/>
      <c r="AR6" s="787"/>
      <c r="AS6" s="787"/>
      <c r="AT6" s="787"/>
      <c r="AU6" s="787"/>
      <c r="AV6" s="787"/>
      <c r="AW6" s="787"/>
      <c r="AX6" s="787"/>
      <c r="AY6" s="787"/>
      <c r="AZ6" s="787"/>
      <c r="BA6" s="787"/>
      <c r="BB6" s="787"/>
      <c r="BC6" s="787"/>
      <c r="BD6" s="787"/>
      <c r="BE6" s="787"/>
      <c r="BF6" s="1026"/>
    </row>
    <row r="7" spans="1:58" s="749" customFormat="1" ht="12.75">
      <c r="A7" s="539" t="s">
        <v>16</v>
      </c>
      <c r="B7" s="218">
        <f t="shared" si="0"/>
        <v>-0.028846775758359745</v>
      </c>
      <c r="C7" s="265">
        <v>45045</v>
      </c>
      <c r="D7" s="223">
        <v>46383</v>
      </c>
      <c r="E7" s="223">
        <v>56011</v>
      </c>
      <c r="F7" s="223">
        <v>48905</v>
      </c>
      <c r="G7" s="223">
        <v>35302</v>
      </c>
      <c r="H7" s="223">
        <v>35512</v>
      </c>
      <c r="I7" s="224">
        <v>31553</v>
      </c>
      <c r="J7" s="119">
        <f t="shared" si="1"/>
        <v>0.2293672305822974</v>
      </c>
      <c r="K7" s="38">
        <v>78918</v>
      </c>
      <c r="L7" s="123">
        <v>64194</v>
      </c>
      <c r="M7" s="123">
        <v>59125</v>
      </c>
      <c r="N7" s="123">
        <v>48270</v>
      </c>
      <c r="O7" s="123">
        <v>50671</v>
      </c>
      <c r="P7" s="669">
        <v>45374</v>
      </c>
      <c r="Q7" s="220">
        <f t="shared" si="2"/>
        <v>0.12105591578718902</v>
      </c>
      <c r="R7" s="180">
        <f t="shared" si="7"/>
        <v>123963</v>
      </c>
      <c r="S7" s="180">
        <f t="shared" si="8"/>
        <v>110577</v>
      </c>
      <c r="T7" s="180">
        <f t="shared" si="9"/>
        <v>120205</v>
      </c>
      <c r="U7" s="180">
        <f t="shared" si="9"/>
        <v>108030</v>
      </c>
      <c r="V7" s="180">
        <f t="shared" si="9"/>
        <v>83572</v>
      </c>
      <c r="W7" s="180">
        <f t="shared" si="9"/>
        <v>86183</v>
      </c>
      <c r="X7" s="221">
        <f t="shared" si="9"/>
        <v>76927</v>
      </c>
      <c r="Y7" s="1251">
        <f t="shared" si="3"/>
        <v>0.29260905479290406</v>
      </c>
      <c r="Z7" s="274">
        <v>32862</v>
      </c>
      <c r="AA7" s="222">
        <v>25423</v>
      </c>
      <c r="AB7" s="222">
        <v>19287</v>
      </c>
      <c r="AC7" s="222">
        <v>22084</v>
      </c>
      <c r="AD7" s="222">
        <v>19105</v>
      </c>
      <c r="AE7" s="222">
        <v>15945</v>
      </c>
      <c r="AF7" s="233">
        <v>24556</v>
      </c>
      <c r="AG7" s="120">
        <f t="shared" si="4"/>
        <v>0.153125</v>
      </c>
      <c r="AH7" s="121">
        <f t="shared" si="10"/>
        <v>156825</v>
      </c>
      <c r="AI7" s="121">
        <f t="shared" si="11"/>
        <v>136000</v>
      </c>
      <c r="AJ7" s="121">
        <f t="shared" si="12"/>
        <v>139492</v>
      </c>
      <c r="AK7" s="121">
        <f t="shared" si="13"/>
        <v>130114</v>
      </c>
      <c r="AL7" s="121">
        <f t="shared" si="14"/>
        <v>102677</v>
      </c>
      <c r="AM7" s="121">
        <f t="shared" si="5"/>
        <v>102128</v>
      </c>
      <c r="AN7" s="122">
        <f t="shared" si="6"/>
        <v>101483</v>
      </c>
      <c r="AO7" s="787"/>
      <c r="AP7" s="787"/>
      <c r="AQ7" s="787"/>
      <c r="AR7" s="787"/>
      <c r="AS7" s="787"/>
      <c r="AT7" s="787"/>
      <c r="AU7" s="787"/>
      <c r="AV7" s="787"/>
      <c r="AW7" s="787"/>
      <c r="AX7" s="787"/>
      <c r="AY7" s="787"/>
      <c r="AZ7" s="787"/>
      <c r="BA7" s="787"/>
      <c r="BB7" s="787"/>
      <c r="BC7" s="787"/>
      <c r="BD7" s="787"/>
      <c r="BE7" s="787"/>
      <c r="BF7" s="1026"/>
    </row>
    <row r="8" spans="1:58" s="749" customFormat="1" ht="12.75">
      <c r="A8" s="539" t="s">
        <v>17</v>
      </c>
      <c r="B8" s="218">
        <f t="shared" si="0"/>
        <v>-0.12558417022969076</v>
      </c>
      <c r="C8" s="265">
        <v>43970</v>
      </c>
      <c r="D8" s="223">
        <v>50285</v>
      </c>
      <c r="E8" s="223">
        <v>55631</v>
      </c>
      <c r="F8" s="223">
        <v>49772</v>
      </c>
      <c r="G8" s="223">
        <v>42494</v>
      </c>
      <c r="H8" s="223">
        <v>29503</v>
      </c>
      <c r="I8" s="224">
        <v>32291</v>
      </c>
      <c r="J8" s="119">
        <f t="shared" si="1"/>
        <v>0.09316225256346987</v>
      </c>
      <c r="K8" s="38">
        <v>79744</v>
      </c>
      <c r="L8" s="123">
        <v>72948</v>
      </c>
      <c r="M8" s="123">
        <v>55789</v>
      </c>
      <c r="N8" s="123">
        <v>55107</v>
      </c>
      <c r="O8" s="123">
        <v>44679</v>
      </c>
      <c r="P8" s="669">
        <v>46594</v>
      </c>
      <c r="Q8" s="220">
        <f t="shared" si="2"/>
        <v>0.0039031752858406433</v>
      </c>
      <c r="R8" s="180">
        <f t="shared" si="7"/>
        <v>123714</v>
      </c>
      <c r="S8" s="180">
        <f>+D8+L8</f>
        <v>123233</v>
      </c>
      <c r="T8" s="180">
        <f t="shared" si="9"/>
        <v>128579</v>
      </c>
      <c r="U8" s="180">
        <f t="shared" si="9"/>
        <v>105561</v>
      </c>
      <c r="V8" s="180">
        <f t="shared" si="9"/>
        <v>97601</v>
      </c>
      <c r="W8" s="180">
        <f t="shared" si="9"/>
        <v>74182</v>
      </c>
      <c r="X8" s="221">
        <f t="shared" si="9"/>
        <v>78885</v>
      </c>
      <c r="Y8" s="1251">
        <f t="shared" si="3"/>
        <v>0.6261114097845416</v>
      </c>
      <c r="Z8" s="274">
        <v>39321</v>
      </c>
      <c r="AA8" s="222">
        <v>24181</v>
      </c>
      <c r="AB8" s="222">
        <v>19856</v>
      </c>
      <c r="AC8" s="222">
        <v>18760</v>
      </c>
      <c r="AD8" s="222">
        <v>24322</v>
      </c>
      <c r="AE8" s="222">
        <v>20624</v>
      </c>
      <c r="AF8" s="233">
        <v>21976</v>
      </c>
      <c r="AG8" s="120">
        <f t="shared" si="4"/>
        <v>0.10596686881842973</v>
      </c>
      <c r="AH8" s="121">
        <f t="shared" si="10"/>
        <v>163035</v>
      </c>
      <c r="AI8" s="121">
        <f t="shared" si="11"/>
        <v>147414</v>
      </c>
      <c r="AJ8" s="121">
        <f t="shared" si="12"/>
        <v>148435</v>
      </c>
      <c r="AK8" s="121">
        <f t="shared" si="13"/>
        <v>124321</v>
      </c>
      <c r="AL8" s="121">
        <f t="shared" si="14"/>
        <v>121923</v>
      </c>
      <c r="AM8" s="121">
        <f t="shared" si="5"/>
        <v>94806</v>
      </c>
      <c r="AN8" s="122">
        <f t="shared" si="6"/>
        <v>100861</v>
      </c>
      <c r="AO8" s="787"/>
      <c r="AP8" s="787"/>
      <c r="AQ8" s="787"/>
      <c r="AR8" s="787"/>
      <c r="AS8" s="787"/>
      <c r="AT8" s="787"/>
      <c r="AU8" s="787"/>
      <c r="AV8" s="787"/>
      <c r="AW8" s="787"/>
      <c r="AX8" s="787"/>
      <c r="AY8" s="787"/>
      <c r="AZ8" s="787"/>
      <c r="BA8" s="787"/>
      <c r="BB8" s="787"/>
      <c r="BC8" s="787"/>
      <c r="BD8" s="787"/>
      <c r="BE8" s="787"/>
      <c r="BF8" s="1026"/>
    </row>
    <row r="9" spans="1:58" s="749" customFormat="1" ht="12.75">
      <c r="A9" s="539" t="s">
        <v>18</v>
      </c>
      <c r="B9" s="218">
        <f t="shared" si="0"/>
        <v>-0.06272226265987314</v>
      </c>
      <c r="C9" s="265">
        <v>45069</v>
      </c>
      <c r="D9" s="265">
        <v>48085</v>
      </c>
      <c r="E9" s="265">
        <v>54090</v>
      </c>
      <c r="F9" s="223">
        <v>54528</v>
      </c>
      <c r="G9" s="223">
        <v>39322</v>
      </c>
      <c r="H9" s="223">
        <v>28339</v>
      </c>
      <c r="I9" s="224">
        <v>33143</v>
      </c>
      <c r="J9" s="119">
        <f t="shared" si="1"/>
        <v>0.24670859019237323</v>
      </c>
      <c r="K9" s="38">
        <v>80490</v>
      </c>
      <c r="L9" s="38">
        <v>64562</v>
      </c>
      <c r="M9" s="123">
        <v>58759</v>
      </c>
      <c r="N9" s="123">
        <v>50984</v>
      </c>
      <c r="O9" s="123">
        <v>42789</v>
      </c>
      <c r="P9" s="669">
        <v>40155</v>
      </c>
      <c r="Q9" s="220">
        <f t="shared" si="2"/>
        <v>0.11462355855016113</v>
      </c>
      <c r="R9" s="180">
        <f t="shared" si="7"/>
        <v>125559</v>
      </c>
      <c r="S9" s="180">
        <f t="shared" si="8"/>
        <v>112647</v>
      </c>
      <c r="T9" s="180">
        <f t="shared" si="9"/>
        <v>118652</v>
      </c>
      <c r="U9" s="180">
        <f t="shared" si="9"/>
        <v>113287</v>
      </c>
      <c r="V9" s="180">
        <f t="shared" si="9"/>
        <v>90306</v>
      </c>
      <c r="W9" s="180">
        <f t="shared" si="9"/>
        <v>71128</v>
      </c>
      <c r="X9" s="221">
        <f t="shared" si="9"/>
        <v>73298</v>
      </c>
      <c r="Y9" s="1251">
        <f t="shared" si="3"/>
        <v>0.4711203096853321</v>
      </c>
      <c r="Z9" s="274">
        <v>38383</v>
      </c>
      <c r="AA9" s="274">
        <v>26091</v>
      </c>
      <c r="AB9" s="274">
        <v>20051</v>
      </c>
      <c r="AC9" s="222">
        <v>17894</v>
      </c>
      <c r="AD9" s="222">
        <v>21769</v>
      </c>
      <c r="AE9" s="222">
        <v>18020</v>
      </c>
      <c r="AF9" s="233">
        <v>20013</v>
      </c>
      <c r="AG9" s="120">
        <f t="shared" si="4"/>
        <v>0.18166616211852557</v>
      </c>
      <c r="AH9" s="121">
        <f t="shared" si="10"/>
        <v>163942</v>
      </c>
      <c r="AI9" s="121">
        <f t="shared" si="11"/>
        <v>138738</v>
      </c>
      <c r="AJ9" s="121">
        <f t="shared" si="12"/>
        <v>138703</v>
      </c>
      <c r="AK9" s="121">
        <f t="shared" si="13"/>
        <v>131181</v>
      </c>
      <c r="AL9" s="121">
        <f t="shared" si="14"/>
        <v>112075</v>
      </c>
      <c r="AM9" s="121">
        <f t="shared" si="5"/>
        <v>89148</v>
      </c>
      <c r="AN9" s="122">
        <f t="shared" si="6"/>
        <v>93311</v>
      </c>
      <c r="AO9" s="787"/>
      <c r="AP9" s="787"/>
      <c r="AQ9" s="787"/>
      <c r="AR9" s="787"/>
      <c r="AS9" s="787"/>
      <c r="AT9" s="787"/>
      <c r="AU9" s="787"/>
      <c r="AV9" s="787"/>
      <c r="AW9" s="787"/>
      <c r="AX9" s="787"/>
      <c r="AY9" s="787"/>
      <c r="AZ9" s="787"/>
      <c r="BA9" s="787"/>
      <c r="BB9" s="787"/>
      <c r="BC9" s="787"/>
      <c r="BD9" s="787"/>
      <c r="BE9" s="787"/>
      <c r="BF9" s="1026"/>
    </row>
    <row r="10" spans="1:58" s="749" customFormat="1" ht="12.75">
      <c r="A10" s="539" t="s">
        <v>19</v>
      </c>
      <c r="B10" s="218">
        <f t="shared" si="0"/>
        <v>-0.023776988248155235</v>
      </c>
      <c r="C10" s="265">
        <v>50008</v>
      </c>
      <c r="D10" s="265">
        <v>51226</v>
      </c>
      <c r="E10" s="265">
        <v>57357</v>
      </c>
      <c r="F10" s="223">
        <v>55730</v>
      </c>
      <c r="G10" s="223">
        <v>40681</v>
      </c>
      <c r="H10" s="223">
        <v>41461</v>
      </c>
      <c r="I10" s="224">
        <v>43478</v>
      </c>
      <c r="J10" s="119">
        <f t="shared" si="1"/>
        <v>0.17099187357015538</v>
      </c>
      <c r="K10" s="38">
        <v>83432</v>
      </c>
      <c r="L10" s="38">
        <v>71249</v>
      </c>
      <c r="M10" s="123">
        <v>59001</v>
      </c>
      <c r="N10" s="123">
        <v>50375</v>
      </c>
      <c r="O10" s="123">
        <v>52730</v>
      </c>
      <c r="P10" s="669">
        <v>45578</v>
      </c>
      <c r="Q10" s="220">
        <f>SUM(R10-S10)/S10</f>
        <v>0.08952847519902021</v>
      </c>
      <c r="R10" s="180">
        <f t="shared" si="7"/>
        <v>133440</v>
      </c>
      <c r="S10" s="180">
        <f t="shared" si="8"/>
        <v>122475</v>
      </c>
      <c r="T10" s="180">
        <f t="shared" si="9"/>
        <v>128606</v>
      </c>
      <c r="U10" s="180">
        <f t="shared" si="9"/>
        <v>114731</v>
      </c>
      <c r="V10" s="180">
        <f t="shared" si="9"/>
        <v>91056</v>
      </c>
      <c r="W10" s="180">
        <f t="shared" si="9"/>
        <v>94191</v>
      </c>
      <c r="X10" s="221">
        <f t="shared" si="9"/>
        <v>89056</v>
      </c>
      <c r="Y10" s="1251">
        <f t="shared" si="3"/>
        <v>0.49671350415239895</v>
      </c>
      <c r="Z10" s="274">
        <v>38027</v>
      </c>
      <c r="AA10" s="274">
        <v>25407</v>
      </c>
      <c r="AB10" s="274">
        <v>18427</v>
      </c>
      <c r="AC10" s="222">
        <v>21890</v>
      </c>
      <c r="AD10" s="222">
        <v>22180</v>
      </c>
      <c r="AE10" s="222">
        <v>23681</v>
      </c>
      <c r="AF10" s="233">
        <v>20840</v>
      </c>
      <c r="AG10" s="120">
        <f>SUM(AH10-AI10)/AI10</f>
        <v>0.15948526527907386</v>
      </c>
      <c r="AH10" s="121">
        <f t="shared" si="10"/>
        <v>171467</v>
      </c>
      <c r="AI10" s="121">
        <f t="shared" si="11"/>
        <v>147882</v>
      </c>
      <c r="AJ10" s="121">
        <f t="shared" si="12"/>
        <v>147033</v>
      </c>
      <c r="AK10" s="121">
        <f t="shared" si="13"/>
        <v>136621</v>
      </c>
      <c r="AL10" s="121">
        <f t="shared" si="14"/>
        <v>113236</v>
      </c>
      <c r="AM10" s="121">
        <f t="shared" si="5"/>
        <v>117872</v>
      </c>
      <c r="AN10" s="122">
        <f t="shared" si="6"/>
        <v>109896</v>
      </c>
      <c r="AO10" s="787"/>
      <c r="AP10" s="787"/>
      <c r="AQ10" s="787"/>
      <c r="AR10" s="787"/>
      <c r="AS10" s="787"/>
      <c r="AT10" s="787"/>
      <c r="AU10" s="787"/>
      <c r="AV10" s="787"/>
      <c r="AW10" s="787"/>
      <c r="AX10" s="787"/>
      <c r="AY10" s="787"/>
      <c r="AZ10" s="787"/>
      <c r="BA10" s="787"/>
      <c r="BB10" s="787"/>
      <c r="BC10" s="787"/>
      <c r="BD10" s="787"/>
      <c r="BE10" s="787"/>
      <c r="BF10" s="1026"/>
    </row>
    <row r="11" spans="1:58" s="749" customFormat="1" ht="12.75">
      <c r="A11" s="539" t="s">
        <v>20</v>
      </c>
      <c r="B11" s="218"/>
      <c r="C11" s="265"/>
      <c r="D11" s="265">
        <v>52127</v>
      </c>
      <c r="E11" s="265">
        <v>58414</v>
      </c>
      <c r="F11" s="223">
        <v>54458</v>
      </c>
      <c r="G11" s="223">
        <v>44111</v>
      </c>
      <c r="H11" s="223">
        <v>36113</v>
      </c>
      <c r="I11" s="224">
        <v>32666</v>
      </c>
      <c r="J11" s="119"/>
      <c r="K11" s="38"/>
      <c r="L11" s="38">
        <v>77245</v>
      </c>
      <c r="M11" s="123">
        <v>59425</v>
      </c>
      <c r="N11" s="123">
        <v>54832</v>
      </c>
      <c r="O11" s="123">
        <v>48498</v>
      </c>
      <c r="P11" s="669">
        <v>40302</v>
      </c>
      <c r="Q11" s="220"/>
      <c r="R11" s="180"/>
      <c r="S11" s="180">
        <f t="shared" si="8"/>
        <v>129372</v>
      </c>
      <c r="T11" s="180">
        <f aca="true" t="shared" si="15" ref="T11:T16">+E11+L11</f>
        <v>135659</v>
      </c>
      <c r="U11" s="180">
        <f aca="true" t="shared" si="16" ref="U11:X16">+F11+M11</f>
        <v>113883</v>
      </c>
      <c r="V11" s="180">
        <f t="shared" si="16"/>
        <v>98943</v>
      </c>
      <c r="W11" s="180">
        <f t="shared" si="16"/>
        <v>84611</v>
      </c>
      <c r="X11" s="221">
        <f t="shared" si="16"/>
        <v>72968</v>
      </c>
      <c r="Y11" s="1251"/>
      <c r="Z11" s="274"/>
      <c r="AA11" s="274">
        <v>32773</v>
      </c>
      <c r="AB11" s="274">
        <f>7876+8723</f>
        <v>16599</v>
      </c>
      <c r="AC11" s="222">
        <v>26706</v>
      </c>
      <c r="AD11" s="222">
        <v>22815</v>
      </c>
      <c r="AE11" s="222">
        <v>22218</v>
      </c>
      <c r="AF11" s="233">
        <v>20218</v>
      </c>
      <c r="AG11" s="120"/>
      <c r="AH11" s="121"/>
      <c r="AI11" s="121">
        <f t="shared" si="11"/>
        <v>162145</v>
      </c>
      <c r="AJ11" s="121">
        <f t="shared" si="12"/>
        <v>152258</v>
      </c>
      <c r="AK11" s="121">
        <f t="shared" si="13"/>
        <v>140589</v>
      </c>
      <c r="AL11" s="121">
        <f t="shared" si="14"/>
        <v>121758</v>
      </c>
      <c r="AM11" s="121">
        <f t="shared" si="5"/>
        <v>106829</v>
      </c>
      <c r="AN11" s="122">
        <f t="shared" si="6"/>
        <v>93186</v>
      </c>
      <c r="AO11" s="787"/>
      <c r="AP11" s="787"/>
      <c r="AQ11" s="787"/>
      <c r="AR11" s="787"/>
      <c r="AS11" s="787"/>
      <c r="AT11" s="787"/>
      <c r="AU11" s="787"/>
      <c r="AV11" s="787"/>
      <c r="AW11" s="787"/>
      <c r="AX11" s="787"/>
      <c r="AY11" s="787"/>
      <c r="AZ11" s="787"/>
      <c r="BA11" s="787"/>
      <c r="BB11" s="787"/>
      <c r="BC11" s="787"/>
      <c r="BD11" s="787"/>
      <c r="BE11" s="787"/>
      <c r="BF11" s="1026"/>
    </row>
    <row r="12" spans="1:58" s="749" customFormat="1" ht="12.75">
      <c r="A12" s="539" t="s">
        <v>21</v>
      </c>
      <c r="B12" s="218"/>
      <c r="C12" s="265"/>
      <c r="D12" s="265">
        <v>45549</v>
      </c>
      <c r="E12" s="265">
        <v>47211</v>
      </c>
      <c r="F12" s="223">
        <v>49544</v>
      </c>
      <c r="G12" s="223">
        <v>41630</v>
      </c>
      <c r="H12" s="223">
        <v>38268</v>
      </c>
      <c r="I12" s="224">
        <v>32660</v>
      </c>
      <c r="J12" s="119"/>
      <c r="K12" s="38"/>
      <c r="L12" s="38">
        <v>71350</v>
      </c>
      <c r="M12" s="123">
        <v>45475</v>
      </c>
      <c r="N12" s="123">
        <v>61818</v>
      </c>
      <c r="O12" s="123">
        <v>47992</v>
      </c>
      <c r="P12" s="669">
        <v>39794</v>
      </c>
      <c r="Q12" s="220"/>
      <c r="R12" s="180"/>
      <c r="S12" s="180">
        <f t="shared" si="8"/>
        <v>116899</v>
      </c>
      <c r="T12" s="180">
        <f t="shared" si="15"/>
        <v>118561</v>
      </c>
      <c r="U12" s="180">
        <f t="shared" si="16"/>
        <v>95019</v>
      </c>
      <c r="V12" s="180">
        <f t="shared" si="16"/>
        <v>103448</v>
      </c>
      <c r="W12" s="180">
        <f t="shared" si="16"/>
        <v>86260</v>
      </c>
      <c r="X12" s="221">
        <f t="shared" si="16"/>
        <v>72454</v>
      </c>
      <c r="Y12" s="1251"/>
      <c r="Z12" s="274"/>
      <c r="AA12" s="274">
        <v>31458</v>
      </c>
      <c r="AB12" s="274">
        <v>14138</v>
      </c>
      <c r="AC12" s="222">
        <v>20898</v>
      </c>
      <c r="AD12" s="222">
        <v>19407</v>
      </c>
      <c r="AE12" s="222">
        <v>25302</v>
      </c>
      <c r="AF12" s="233">
        <v>19707</v>
      </c>
      <c r="AG12" s="120"/>
      <c r="AH12" s="121"/>
      <c r="AI12" s="121">
        <f t="shared" si="11"/>
        <v>148357</v>
      </c>
      <c r="AJ12" s="121">
        <f t="shared" si="12"/>
        <v>132699</v>
      </c>
      <c r="AK12" s="121">
        <f t="shared" si="13"/>
        <v>115917</v>
      </c>
      <c r="AL12" s="121">
        <f t="shared" si="14"/>
        <v>122855</v>
      </c>
      <c r="AM12" s="121">
        <f t="shared" si="5"/>
        <v>111562</v>
      </c>
      <c r="AN12" s="122">
        <f t="shared" si="6"/>
        <v>92161</v>
      </c>
      <c r="AO12" s="787"/>
      <c r="AP12" s="787"/>
      <c r="AQ12" s="787"/>
      <c r="AR12" s="787"/>
      <c r="AS12" s="787"/>
      <c r="AT12" s="787"/>
      <c r="AU12" s="787"/>
      <c r="AV12" s="787"/>
      <c r="AW12" s="787"/>
      <c r="AX12" s="787"/>
      <c r="AY12" s="787"/>
      <c r="AZ12" s="787"/>
      <c r="BA12" s="787"/>
      <c r="BB12" s="787"/>
      <c r="BC12" s="787"/>
      <c r="BD12" s="787"/>
      <c r="BE12" s="787"/>
      <c r="BF12" s="1026"/>
    </row>
    <row r="13" spans="1:58" s="749" customFormat="1" ht="12.75">
      <c r="A13" s="539" t="s">
        <v>22</v>
      </c>
      <c r="B13" s="218"/>
      <c r="C13" s="265"/>
      <c r="D13" s="265">
        <v>50882</v>
      </c>
      <c r="E13" s="265">
        <v>56438</v>
      </c>
      <c r="F13" s="223">
        <v>63503</v>
      </c>
      <c r="G13" s="223">
        <v>38783</v>
      </c>
      <c r="H13" s="223">
        <v>39110</v>
      </c>
      <c r="I13" s="224">
        <v>35410</v>
      </c>
      <c r="J13" s="119"/>
      <c r="K13" s="38"/>
      <c r="L13" s="38">
        <v>72232</v>
      </c>
      <c r="M13" s="123">
        <v>56666</v>
      </c>
      <c r="N13" s="123">
        <v>59080</v>
      </c>
      <c r="O13" s="123">
        <v>53759</v>
      </c>
      <c r="P13" s="669">
        <v>53188</v>
      </c>
      <c r="Q13" s="220"/>
      <c r="R13" s="180"/>
      <c r="S13" s="180">
        <f>+D13+L13</f>
        <v>123114</v>
      </c>
      <c r="T13" s="180">
        <f>+E13+L13</f>
        <v>128670</v>
      </c>
      <c r="U13" s="180">
        <f t="shared" si="16"/>
        <v>120169</v>
      </c>
      <c r="V13" s="180">
        <f t="shared" si="16"/>
        <v>97863</v>
      </c>
      <c r="W13" s="180">
        <f t="shared" si="16"/>
        <v>92869</v>
      </c>
      <c r="X13" s="221">
        <f t="shared" si="16"/>
        <v>88598</v>
      </c>
      <c r="Y13" s="1251"/>
      <c r="Z13" s="274"/>
      <c r="AA13" s="274">
        <v>33078</v>
      </c>
      <c r="AB13" s="274">
        <v>17869</v>
      </c>
      <c r="AC13" s="222">
        <v>30722</v>
      </c>
      <c r="AD13" s="222">
        <v>23862</v>
      </c>
      <c r="AE13" s="222">
        <v>24796</v>
      </c>
      <c r="AF13" s="233">
        <v>21698</v>
      </c>
      <c r="AG13" s="120"/>
      <c r="AH13" s="121"/>
      <c r="AI13" s="121">
        <f>+S13+AA13</f>
        <v>156192</v>
      </c>
      <c r="AJ13" s="121">
        <f t="shared" si="12"/>
        <v>146539</v>
      </c>
      <c r="AK13" s="121">
        <f t="shared" si="13"/>
        <v>150891</v>
      </c>
      <c r="AL13" s="121">
        <f t="shared" si="14"/>
        <v>121725</v>
      </c>
      <c r="AM13" s="121">
        <f t="shared" si="5"/>
        <v>117665</v>
      </c>
      <c r="AN13" s="122">
        <f t="shared" si="6"/>
        <v>110296</v>
      </c>
      <c r="AO13" s="787"/>
      <c r="AP13" s="787"/>
      <c r="AQ13" s="787"/>
      <c r="AR13" s="787"/>
      <c r="AS13" s="787"/>
      <c r="AT13" s="787"/>
      <c r="AU13" s="787"/>
      <c r="AV13" s="787"/>
      <c r="AW13" s="787"/>
      <c r="AX13" s="787"/>
      <c r="AY13" s="787"/>
      <c r="AZ13" s="787"/>
      <c r="BA13" s="787"/>
      <c r="BB13" s="787"/>
      <c r="BC13" s="787"/>
      <c r="BD13" s="787"/>
      <c r="BE13" s="787"/>
      <c r="BF13" s="1026"/>
    </row>
    <row r="14" spans="1:58" s="749" customFormat="1" ht="12.75">
      <c r="A14" s="539" t="s">
        <v>23</v>
      </c>
      <c r="B14" s="218"/>
      <c r="C14" s="265"/>
      <c r="D14" s="265">
        <v>50110</v>
      </c>
      <c r="E14" s="265">
        <v>56300</v>
      </c>
      <c r="F14" s="223">
        <v>55459</v>
      </c>
      <c r="G14" s="223">
        <v>40040</v>
      </c>
      <c r="H14" s="223">
        <v>37808</v>
      </c>
      <c r="I14" s="224">
        <v>29077</v>
      </c>
      <c r="J14" s="119"/>
      <c r="K14" s="38"/>
      <c r="L14" s="38">
        <v>73341</v>
      </c>
      <c r="M14" s="123">
        <v>56628</v>
      </c>
      <c r="N14" s="123">
        <v>57800</v>
      </c>
      <c r="O14" s="123">
        <v>46493</v>
      </c>
      <c r="P14" s="669">
        <v>45348</v>
      </c>
      <c r="Q14" s="220"/>
      <c r="R14" s="180"/>
      <c r="S14" s="180">
        <f>+D14+L14</f>
        <v>123451</v>
      </c>
      <c r="T14" s="180">
        <f t="shared" si="15"/>
        <v>129641</v>
      </c>
      <c r="U14" s="180">
        <f t="shared" si="16"/>
        <v>112087</v>
      </c>
      <c r="V14" s="180">
        <f t="shared" si="16"/>
        <v>97840</v>
      </c>
      <c r="W14" s="180">
        <f t="shared" si="16"/>
        <v>84301</v>
      </c>
      <c r="X14" s="221">
        <f t="shared" si="16"/>
        <v>74425</v>
      </c>
      <c r="Y14" s="1251"/>
      <c r="Z14" s="274"/>
      <c r="AA14" s="274">
        <v>36527</v>
      </c>
      <c r="AB14" s="274">
        <v>22692</v>
      </c>
      <c r="AC14" s="222">
        <v>33806</v>
      </c>
      <c r="AD14" s="222">
        <v>21413</v>
      </c>
      <c r="AE14" s="222">
        <v>24568</v>
      </c>
      <c r="AF14" s="233">
        <v>23093</v>
      </c>
      <c r="AG14" s="120"/>
      <c r="AH14" s="121"/>
      <c r="AI14" s="121">
        <f>+S14+AA14</f>
        <v>159978</v>
      </c>
      <c r="AJ14" s="121">
        <f t="shared" si="12"/>
        <v>152333</v>
      </c>
      <c r="AK14" s="121">
        <f t="shared" si="13"/>
        <v>145893</v>
      </c>
      <c r="AL14" s="121">
        <f t="shared" si="14"/>
        <v>119253</v>
      </c>
      <c r="AM14" s="121">
        <f t="shared" si="5"/>
        <v>108869</v>
      </c>
      <c r="AN14" s="122">
        <f t="shared" si="6"/>
        <v>97518</v>
      </c>
      <c r="AO14" s="787"/>
      <c r="AP14" s="787"/>
      <c r="AQ14" s="787"/>
      <c r="AR14" s="787"/>
      <c r="AS14" s="787"/>
      <c r="AT14" s="787"/>
      <c r="AU14" s="787"/>
      <c r="AV14" s="787"/>
      <c r="AW14" s="787"/>
      <c r="AX14" s="787"/>
      <c r="AY14" s="787"/>
      <c r="AZ14" s="787"/>
      <c r="BA14" s="787"/>
      <c r="BB14" s="787"/>
      <c r="BC14" s="787"/>
      <c r="BD14" s="787"/>
      <c r="BE14" s="787"/>
      <c r="BF14" s="1026"/>
    </row>
    <row r="15" spans="1:58" s="749" customFormat="1" ht="13.5" thickBot="1">
      <c r="A15" s="988" t="s">
        <v>24</v>
      </c>
      <c r="B15" s="453"/>
      <c r="C15" s="989"/>
      <c r="D15" s="989">
        <v>44340</v>
      </c>
      <c r="E15" s="989">
        <v>47399</v>
      </c>
      <c r="F15" s="832">
        <v>58362</v>
      </c>
      <c r="G15" s="832">
        <v>51158</v>
      </c>
      <c r="H15" s="832">
        <v>37796</v>
      </c>
      <c r="I15" s="1021">
        <v>26645</v>
      </c>
      <c r="J15" s="401"/>
      <c r="K15" s="454"/>
      <c r="L15" s="454">
        <v>70952</v>
      </c>
      <c r="M15" s="675">
        <v>54808</v>
      </c>
      <c r="N15" s="675">
        <v>59386</v>
      </c>
      <c r="O15" s="675">
        <v>49780</v>
      </c>
      <c r="P15" s="1248">
        <v>40910</v>
      </c>
      <c r="Q15" s="397"/>
      <c r="R15" s="398"/>
      <c r="S15" s="398">
        <f>+D15+L15</f>
        <v>115292</v>
      </c>
      <c r="T15" s="398">
        <f t="shared" si="15"/>
        <v>118351</v>
      </c>
      <c r="U15" s="398">
        <f t="shared" si="16"/>
        <v>113170</v>
      </c>
      <c r="V15" s="398">
        <f t="shared" si="16"/>
        <v>110544</v>
      </c>
      <c r="W15" s="398">
        <f t="shared" si="16"/>
        <v>87576</v>
      </c>
      <c r="X15" s="1253">
        <f t="shared" si="16"/>
        <v>67555</v>
      </c>
      <c r="Y15" s="1252"/>
      <c r="Z15" s="1249"/>
      <c r="AA15" s="1249">
        <v>34447</v>
      </c>
      <c r="AB15" s="1249">
        <v>18740</v>
      </c>
      <c r="AC15" s="133">
        <v>31979</v>
      </c>
      <c r="AD15" s="133">
        <v>19728</v>
      </c>
      <c r="AE15" s="133">
        <v>26534</v>
      </c>
      <c r="AF15" s="1109">
        <v>20266</v>
      </c>
      <c r="AG15" s="521"/>
      <c r="AH15" s="124"/>
      <c r="AI15" s="124">
        <f>+S15+AA15</f>
        <v>149739</v>
      </c>
      <c r="AJ15" s="124">
        <f t="shared" si="12"/>
        <v>137091</v>
      </c>
      <c r="AK15" s="124">
        <f t="shared" si="13"/>
        <v>145149</v>
      </c>
      <c r="AL15" s="124">
        <f t="shared" si="14"/>
        <v>130272</v>
      </c>
      <c r="AM15" s="124">
        <f t="shared" si="5"/>
        <v>114110</v>
      </c>
      <c r="AN15" s="125">
        <f t="shared" si="6"/>
        <v>87821</v>
      </c>
      <c r="AO15" s="787"/>
      <c r="AP15" s="787"/>
      <c r="AQ15" s="787"/>
      <c r="AR15" s="787"/>
      <c r="AS15" s="787"/>
      <c r="AT15" s="787"/>
      <c r="AU15" s="787"/>
      <c r="AV15" s="787"/>
      <c r="AW15" s="787"/>
      <c r="AX15" s="787"/>
      <c r="AY15" s="787"/>
      <c r="AZ15" s="787"/>
      <c r="BA15" s="787"/>
      <c r="BB15" s="787"/>
      <c r="BC15" s="787"/>
      <c r="BD15" s="787"/>
      <c r="BE15" s="787"/>
      <c r="BF15" s="1026"/>
    </row>
    <row r="16" spans="1:58" s="1022" customFormat="1" ht="12.75">
      <c r="A16" s="499" t="s">
        <v>25</v>
      </c>
      <c r="B16" s="396">
        <f>SUM(C16-D16)/D16</f>
        <v>-0.050546931722039876</v>
      </c>
      <c r="C16" s="746">
        <f>SUM(C4:C10)</f>
        <v>316466</v>
      </c>
      <c r="D16" s="746">
        <f aca="true" t="shared" si="17" ref="D16:I16">SUM(D4:D10)</f>
        <v>333314</v>
      </c>
      <c r="E16" s="746">
        <f t="shared" si="17"/>
        <v>374846</v>
      </c>
      <c r="F16" s="746">
        <f t="shared" si="17"/>
        <v>341953</v>
      </c>
      <c r="G16" s="746">
        <f t="shared" si="17"/>
        <v>261353</v>
      </c>
      <c r="H16" s="746">
        <f t="shared" si="17"/>
        <v>225707</v>
      </c>
      <c r="I16" s="746">
        <f t="shared" si="17"/>
        <v>220332</v>
      </c>
      <c r="J16" s="396">
        <f>SUM(K16-L16)/L16</f>
        <v>0.1713605823674484</v>
      </c>
      <c r="K16" s="746">
        <f aca="true" t="shared" si="18" ref="K16:P16">SUM(K4:K10)</f>
        <v>540980</v>
      </c>
      <c r="L16" s="746">
        <f t="shared" si="18"/>
        <v>461839</v>
      </c>
      <c r="M16" s="746">
        <f t="shared" si="18"/>
        <v>396654</v>
      </c>
      <c r="N16" s="746">
        <f t="shared" si="18"/>
        <v>349485</v>
      </c>
      <c r="O16" s="746">
        <f t="shared" si="18"/>
        <v>333933</v>
      </c>
      <c r="P16" s="746">
        <f t="shared" si="18"/>
        <v>310619</v>
      </c>
      <c r="Q16" s="588">
        <f>SUM(R16-S16)/S16</f>
        <v>0.07834089791524398</v>
      </c>
      <c r="R16" s="332">
        <f>+C16+K16</f>
        <v>857446</v>
      </c>
      <c r="S16" s="332">
        <f>+D16+L16</f>
        <v>795153</v>
      </c>
      <c r="T16" s="332">
        <f t="shared" si="15"/>
        <v>836685</v>
      </c>
      <c r="U16" s="332">
        <f t="shared" si="16"/>
        <v>738607</v>
      </c>
      <c r="V16" s="332">
        <f t="shared" si="16"/>
        <v>610838</v>
      </c>
      <c r="W16" s="332">
        <f t="shared" si="16"/>
        <v>559640</v>
      </c>
      <c r="X16" s="589">
        <f t="shared" si="16"/>
        <v>530951</v>
      </c>
      <c r="Y16" s="588">
        <f>SUM(Z16-AA16)/AA16</f>
        <v>0.38275834180608187</v>
      </c>
      <c r="Z16" s="746">
        <f>SUM(Z4:Z10)</f>
        <v>239361</v>
      </c>
      <c r="AA16" s="746">
        <f aca="true" t="shared" si="19" ref="AA16:AF16">SUM(AA4:AA10)</f>
        <v>173104</v>
      </c>
      <c r="AB16" s="746">
        <f t="shared" si="19"/>
        <v>149513</v>
      </c>
      <c r="AC16" s="746">
        <f t="shared" si="19"/>
        <v>145035</v>
      </c>
      <c r="AD16" s="746">
        <f t="shared" si="19"/>
        <v>153898</v>
      </c>
      <c r="AE16" s="746">
        <f t="shared" si="19"/>
        <v>124810</v>
      </c>
      <c r="AF16" s="746">
        <f t="shared" si="19"/>
        <v>147856</v>
      </c>
      <c r="AG16" s="588">
        <f>SUM(AH16-AI16)/AI16</f>
        <v>0.13276433839362897</v>
      </c>
      <c r="AH16" s="332">
        <f>+R16+Z16</f>
        <v>1096807</v>
      </c>
      <c r="AI16" s="332">
        <f>+S16+AA16</f>
        <v>968257</v>
      </c>
      <c r="AJ16" s="332">
        <f t="shared" si="12"/>
        <v>986198</v>
      </c>
      <c r="AK16" s="332">
        <f t="shared" si="13"/>
        <v>883642</v>
      </c>
      <c r="AL16" s="332">
        <f t="shared" si="14"/>
        <v>764736</v>
      </c>
      <c r="AM16" s="332">
        <f>+W16+AE16</f>
        <v>684450</v>
      </c>
      <c r="AN16" s="589">
        <f>+X16+AF16</f>
        <v>678807</v>
      </c>
      <c r="AO16" s="788"/>
      <c r="AP16" s="788"/>
      <c r="AQ16" s="788"/>
      <c r="AR16" s="788"/>
      <c r="AS16" s="788"/>
      <c r="AT16" s="788"/>
      <c r="AU16" s="788"/>
      <c r="AV16" s="788"/>
      <c r="AW16" s="788"/>
      <c r="AX16" s="788"/>
      <c r="AY16" s="788"/>
      <c r="AZ16" s="788"/>
      <c r="BA16" s="788"/>
      <c r="BF16" s="1028"/>
    </row>
    <row r="17" spans="1:58" s="1023" customFormat="1" ht="13.5" thickBot="1">
      <c r="A17" s="355" t="s">
        <v>28</v>
      </c>
      <c r="B17" s="313">
        <f>SUM(C17-D17)/D17</f>
        <v>-0.03428624304640808</v>
      </c>
      <c r="C17" s="295">
        <f>AVERAGE(C4:C7)</f>
        <v>44354.75</v>
      </c>
      <c r="D17" s="295">
        <f>AVERAGE(D4:D7)</f>
        <v>45929.5</v>
      </c>
      <c r="E17" s="102">
        <f>AVERAGE(E4:E15)</f>
        <v>53384</v>
      </c>
      <c r="F17" s="102">
        <f>AVERAGE(F4:F15)</f>
        <v>51939.916666666664</v>
      </c>
      <c r="G17" s="102">
        <f>AVERAGE(G4:G15)</f>
        <v>39756.25</v>
      </c>
      <c r="H17" s="102">
        <f>AVERAGE(H4:H15)</f>
        <v>34566.833333333336</v>
      </c>
      <c r="I17" s="356">
        <f>AVERAGE(I4:I15)</f>
        <v>31399.166666666668</v>
      </c>
      <c r="J17" s="313">
        <f>SUM(K17-L17)/L17</f>
        <v>0.1394282007321255</v>
      </c>
      <c r="K17" s="295">
        <f>AVERAGE(K4:K12)</f>
        <v>77282.85714285714</v>
      </c>
      <c r="L17" s="295">
        <f>AVERAGE(L4:L12)</f>
        <v>67826</v>
      </c>
      <c r="M17" s="102">
        <f>AVERAGE(M4:M15)</f>
        <v>55804.666666666664</v>
      </c>
      <c r="N17" s="102">
        <f>AVERAGE(N4:N15)</f>
        <v>53533.416666666664</v>
      </c>
      <c r="O17" s="102">
        <f>AVERAGE(O4:O15)</f>
        <v>48371.25</v>
      </c>
      <c r="P17" s="312">
        <f>AVERAGE(P4:P15)</f>
        <v>44180.083333333336</v>
      </c>
      <c r="Q17" s="879">
        <f>SUM(R17-S17)/S17</f>
        <v>0.08684792512786231</v>
      </c>
      <c r="R17" s="295">
        <f>AVERAGE(R4:R7)</f>
        <v>118683.25</v>
      </c>
      <c r="S17" s="295">
        <f>AVERAGE(S4:S7)</f>
        <v>109199.5</v>
      </c>
      <c r="T17" s="102">
        <f>AVERAGE(T4:T15)</f>
        <v>122297.25</v>
      </c>
      <c r="U17" s="102">
        <f>AVERAGE(U4:U15)</f>
        <v>107744.58333333333</v>
      </c>
      <c r="V17" s="102">
        <f>AVERAGE(V4:V15)</f>
        <v>93289.66666666667</v>
      </c>
      <c r="W17" s="102">
        <f>AVERAGE(W4:W15)</f>
        <v>82938.08333333333</v>
      </c>
      <c r="X17" s="356">
        <f>AVERAGE(X4:X15)</f>
        <v>75579.25</v>
      </c>
      <c r="Y17" s="313">
        <f>SUM(Z17-AA17)/AA17</f>
        <v>0.2689761354888376</v>
      </c>
      <c r="Z17" s="295">
        <f>AVERAGE(Z4:Z7)</f>
        <v>30907.5</v>
      </c>
      <c r="AA17" s="295">
        <f>AVERAGE(AA4:AA7)</f>
        <v>24356.25</v>
      </c>
      <c r="AB17" s="102">
        <f>AVERAGE(AB4:AB15)</f>
        <v>19962.583333333332</v>
      </c>
      <c r="AC17" s="102">
        <f>AVERAGE(AC4:AC15)</f>
        <v>24095.5</v>
      </c>
      <c r="AD17" s="102">
        <f>AVERAGE(AD4:AD15)</f>
        <v>21760.25</v>
      </c>
      <c r="AE17" s="102">
        <f>AVERAGE(AE4:AE15)</f>
        <v>20685.666666666668</v>
      </c>
      <c r="AF17" s="312">
        <f>AVERAGE(AF4:AF15)</f>
        <v>21069.833333333332</v>
      </c>
      <c r="AG17" s="313">
        <f>SUM(AH17-AI17)/AI17</f>
        <v>0.07770680234209115</v>
      </c>
      <c r="AH17" s="102">
        <f>AVERAGE(AH4:AH15)</f>
        <v>156686.7142857143</v>
      </c>
      <c r="AI17" s="102">
        <f>AVERAGE(AI4:AI15)</f>
        <v>145389</v>
      </c>
      <c r="AJ17" s="102">
        <f>AVERAGE(AJ4:AJ15)</f>
        <v>142259.83333333334</v>
      </c>
      <c r="AK17" s="102">
        <f>AVERAGE(AJ4:AK15)</f>
        <v>137049.95833333334</v>
      </c>
      <c r="AL17" s="102">
        <f>AVERAGE(AK4:AL15)</f>
        <v>123445</v>
      </c>
      <c r="AM17" s="102">
        <f>AVERAGE(AL4:AM15)</f>
        <v>109336.83333333333</v>
      </c>
      <c r="AN17" s="312">
        <f>AVERAGE(AM4:AN15)</f>
        <v>100136.41666666667</v>
      </c>
      <c r="AO17" s="788"/>
      <c r="AP17" s="788"/>
      <c r="AQ17" s="788"/>
      <c r="AR17" s="788"/>
      <c r="AS17" s="788"/>
      <c r="AT17" s="788"/>
      <c r="AU17" s="788"/>
      <c r="AV17" s="788"/>
      <c r="AW17" s="788"/>
      <c r="AX17" s="788"/>
      <c r="AY17" s="788"/>
      <c r="AZ17" s="788"/>
      <c r="BA17" s="788"/>
      <c r="BF17" s="1029"/>
    </row>
    <row r="18" ht="12.75">
      <c r="AO18" s="318"/>
    </row>
    <row r="19" spans="40:41" ht="12.75">
      <c r="AN19" s="1411"/>
      <c r="AO19" s="318"/>
    </row>
    <row r="20" spans="40:41" ht="12.75">
      <c r="AN20" s="1411"/>
      <c r="AO20" s="318"/>
    </row>
    <row r="21" spans="40:41" ht="12.75">
      <c r="AN21" s="1411"/>
      <c r="AO21" s="318"/>
    </row>
    <row r="22" spans="40:41" ht="12.75">
      <c r="AN22" s="1411"/>
      <c r="AO22" s="318"/>
    </row>
    <row r="23" spans="40:41" ht="12.75">
      <c r="AN23" s="1411"/>
      <c r="AO23" s="318"/>
    </row>
    <row r="24" spans="40:41" ht="12.75">
      <c r="AN24" s="1411"/>
      <c r="AO24" s="318"/>
    </row>
    <row r="25" spans="40:41" ht="12.75">
      <c r="AN25" s="1411"/>
      <c r="AO25" s="318"/>
    </row>
    <row r="26" spans="40:41" ht="12.75">
      <c r="AN26" s="1411"/>
      <c r="AO26" s="318"/>
    </row>
    <row r="27" spans="40:41" ht="12.75">
      <c r="AN27" s="1411"/>
      <c r="AO27" s="318"/>
    </row>
    <row r="28" spans="40:41" ht="12.75">
      <c r="AN28" s="1411"/>
      <c r="AO28" s="318"/>
    </row>
    <row r="29" spans="40:41" ht="12.75">
      <c r="AN29" s="1411"/>
      <c r="AO29" s="318"/>
    </row>
    <row r="30" spans="40:41" ht="12.75">
      <c r="AN30" s="1411"/>
      <c r="AO30" s="318"/>
    </row>
    <row r="31" spans="40:41" ht="12.75">
      <c r="AN31" s="1411"/>
      <c r="AO31" s="318"/>
    </row>
    <row r="32" spans="40:41" ht="12.75">
      <c r="AN32" s="1411"/>
      <c r="AO32" s="318"/>
    </row>
    <row r="33" spans="40:41" ht="12.75">
      <c r="AN33" s="1411"/>
      <c r="AO33" s="318"/>
    </row>
    <row r="34" spans="40:41" ht="12.75">
      <c r="AN34" s="1411"/>
      <c r="AO34" s="318"/>
    </row>
    <row r="35" spans="40:41" ht="12.75">
      <c r="AN35" s="1411"/>
      <c r="AO35" s="318"/>
    </row>
    <row r="36" spans="40:41" ht="12.75">
      <c r="AN36" s="1411"/>
      <c r="AO36" s="318"/>
    </row>
    <row r="37" spans="40:41" ht="12.75">
      <c r="AN37" s="1411"/>
      <c r="AO37" s="318"/>
    </row>
    <row r="38" spans="40:41" ht="12.75">
      <c r="AN38" s="1411"/>
      <c r="AO38" s="318"/>
    </row>
    <row r="39" spans="40:41" ht="12.75">
      <c r="AN39" s="1411"/>
      <c r="AO39" s="318"/>
    </row>
    <row r="40" spans="40:41" ht="12.75">
      <c r="AN40" s="1411"/>
      <c r="AO40" s="318"/>
    </row>
    <row r="41" spans="40:41" ht="12.75">
      <c r="AN41" s="1411"/>
      <c r="AO41" s="318"/>
    </row>
    <row r="42" spans="40:41" ht="12.75">
      <c r="AN42" s="1411"/>
      <c r="AO42" s="318"/>
    </row>
    <row r="43" spans="40:41" ht="12.75">
      <c r="AN43" s="1411"/>
      <c r="AO43" s="318"/>
    </row>
    <row r="44" spans="40:41" ht="12.75">
      <c r="AN44" s="1411"/>
      <c r="AO44" s="318"/>
    </row>
    <row r="45" spans="40:41" ht="12.75">
      <c r="AN45" s="1411"/>
      <c r="AO45" s="318"/>
    </row>
    <row r="46" spans="40:41" ht="12.75">
      <c r="AN46" s="1411"/>
      <c r="AO46" s="318"/>
    </row>
    <row r="47" spans="40:41" ht="12.75">
      <c r="AN47" s="1411"/>
      <c r="AO47" s="318"/>
    </row>
    <row r="48" spans="40:41" ht="12.75">
      <c r="AN48" s="1411"/>
      <c r="AO48" s="318"/>
    </row>
    <row r="49" spans="40:41" ht="12.75">
      <c r="AN49" s="1411"/>
      <c r="AO49" s="318"/>
    </row>
    <row r="50" spans="40:41" ht="12.75">
      <c r="AN50" s="1411"/>
      <c r="AO50" s="318"/>
    </row>
    <row r="51" spans="40:41" ht="12.75">
      <c r="AN51" s="1411"/>
      <c r="AO51" s="318"/>
    </row>
    <row r="52" spans="40:41" ht="12.75">
      <c r="AN52" s="1411"/>
      <c r="AO52" s="318"/>
    </row>
    <row r="53" spans="40:41" ht="12.75">
      <c r="AN53" s="1411"/>
      <c r="AO53" s="318"/>
    </row>
    <row r="54" spans="40:41" ht="12.75">
      <c r="AN54" s="1411"/>
      <c r="AO54" s="318"/>
    </row>
    <row r="55" spans="40:41" ht="12.75">
      <c r="AN55" s="1411"/>
      <c r="AO55" s="318"/>
    </row>
    <row r="56" spans="40:41" ht="12.75">
      <c r="AN56" s="1411"/>
      <c r="AO56" s="318"/>
    </row>
    <row r="57" spans="40:41" ht="12.75">
      <c r="AN57" s="1411"/>
      <c r="AO57" s="318"/>
    </row>
    <row r="58" spans="40:41" ht="12.75">
      <c r="AN58" s="1411"/>
      <c r="AO58" s="318"/>
    </row>
    <row r="59" spans="40:41" ht="12.75">
      <c r="AN59" s="1411"/>
      <c r="AO59" s="318"/>
    </row>
    <row r="60" spans="40:41" ht="12.75">
      <c r="AN60" s="1411"/>
      <c r="AO60" s="318"/>
    </row>
    <row r="61" spans="40:41" ht="12.75">
      <c r="AN61" s="1411"/>
      <c r="AO61" s="318"/>
    </row>
    <row r="62" spans="40:41" ht="12.75">
      <c r="AN62" s="1411"/>
      <c r="AO62" s="318"/>
    </row>
    <row r="63" spans="40:41" ht="12.75">
      <c r="AN63" s="1411"/>
      <c r="AO63" s="318"/>
    </row>
    <row r="64" spans="40:41" ht="12.75">
      <c r="AN64" s="1411"/>
      <c r="AO64" s="318"/>
    </row>
    <row r="65" spans="40:41" ht="12.75">
      <c r="AN65" s="1411"/>
      <c r="AO65" s="318"/>
    </row>
    <row r="66" spans="40:41" ht="12.75">
      <c r="AN66" s="1411"/>
      <c r="AO66" s="318"/>
    </row>
    <row r="67" spans="40:41" ht="12.75">
      <c r="AN67" s="1411"/>
      <c r="AO67" s="318"/>
    </row>
    <row r="68" spans="40:41" ht="12.75">
      <c r="AN68" s="1411"/>
      <c r="AO68" s="318"/>
    </row>
    <row r="69" spans="40:41" ht="12.75">
      <c r="AN69" s="1411"/>
      <c r="AO69" s="318"/>
    </row>
    <row r="70" spans="40:41" ht="12.75">
      <c r="AN70" s="1411"/>
      <c r="AO70" s="318"/>
    </row>
    <row r="71" spans="40:41" ht="12.75">
      <c r="AN71" s="1411"/>
      <c r="AO71" s="318"/>
    </row>
    <row r="72" spans="40:41" ht="12.75">
      <c r="AN72" s="1411"/>
      <c r="AO72" s="318"/>
    </row>
    <row r="73" spans="40:41" ht="12.75">
      <c r="AN73" s="1411"/>
      <c r="AO73" s="318"/>
    </row>
    <row r="74" spans="40:41" ht="12.75">
      <c r="AN74" s="1411"/>
      <c r="AO74" s="318"/>
    </row>
    <row r="75" spans="40:41" ht="12.75">
      <c r="AN75" s="1411"/>
      <c r="AO75" s="318"/>
    </row>
    <row r="76" spans="40:41" ht="12.75">
      <c r="AN76" s="1411"/>
      <c r="AO76" s="318"/>
    </row>
    <row r="77" spans="40:41" ht="12.75">
      <c r="AN77" s="1411"/>
      <c r="AO77" s="318"/>
    </row>
    <row r="78" spans="40:41" ht="12.75">
      <c r="AN78" s="1411"/>
      <c r="AO78" s="318"/>
    </row>
    <row r="79" spans="40:41" ht="12.75">
      <c r="AN79" s="1411"/>
      <c r="AO79" s="318"/>
    </row>
    <row r="80" spans="40:41" ht="12.75">
      <c r="AN80" s="1411"/>
      <c r="AO80" s="318"/>
    </row>
  </sheetData>
  <mergeCells count="7">
    <mergeCell ref="B1:AN1"/>
    <mergeCell ref="AG3:AN3"/>
    <mergeCell ref="A1:A2"/>
    <mergeCell ref="B3:I3"/>
    <mergeCell ref="J3:P3"/>
    <mergeCell ref="Y3:AF3"/>
    <mergeCell ref="Q3:X3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7"/>
  <sheetViews>
    <sheetView workbookViewId="0" topLeftCell="A1">
      <selection activeCell="A1" sqref="A1:A2"/>
    </sheetView>
  </sheetViews>
  <sheetFormatPr defaultColWidth="9.140625" defaultRowHeight="12.75"/>
  <cols>
    <col min="1" max="1" width="14.8515625" style="0" customWidth="1"/>
    <col min="2" max="2" width="9.57421875" style="0" customWidth="1"/>
    <col min="3" max="6" width="5.7109375" style="0" customWidth="1"/>
    <col min="7" max="7" width="9.57421875" style="0" customWidth="1"/>
    <col min="8" max="11" width="6.57421875" style="0" customWidth="1"/>
    <col min="12" max="12" width="9.57421875" style="0" customWidth="1"/>
    <col min="13" max="16" width="6.57421875" style="0" customWidth="1"/>
    <col min="17" max="17" width="10.00390625" style="0" customWidth="1"/>
    <col min="18" max="21" width="6.57421875" style="0" customWidth="1"/>
    <col min="22" max="22" width="10.00390625" style="0" customWidth="1"/>
    <col min="23" max="26" width="6.57421875" style="0" customWidth="1"/>
    <col min="27" max="27" width="10.00390625" style="0" customWidth="1"/>
    <col min="28" max="31" width="7.8515625" style="0" customWidth="1"/>
  </cols>
  <sheetData>
    <row r="1" spans="1:31" ht="13.5" thickBot="1">
      <c r="A1" s="1901" t="s">
        <v>224</v>
      </c>
      <c r="B1" s="1868" t="s">
        <v>67</v>
      </c>
      <c r="C1" s="1868"/>
      <c r="D1" s="1868"/>
      <c r="E1" s="1868"/>
      <c r="F1" s="1868"/>
      <c r="G1" s="1868"/>
      <c r="H1" s="1868"/>
      <c r="I1" s="1868"/>
      <c r="J1" s="1868"/>
      <c r="K1" s="1868"/>
      <c r="L1" s="1953" t="s">
        <v>2</v>
      </c>
      <c r="M1" s="1954"/>
      <c r="N1" s="1954"/>
      <c r="O1" s="1954"/>
      <c r="P1" s="1955"/>
      <c r="Q1" s="1956" t="s">
        <v>3</v>
      </c>
      <c r="R1" s="1956"/>
      <c r="S1" s="1957"/>
      <c r="T1" s="1957"/>
      <c r="U1" s="1957"/>
      <c r="V1" s="1927" t="s">
        <v>66</v>
      </c>
      <c r="W1" s="1928"/>
      <c r="X1" s="1928"/>
      <c r="Y1" s="1928"/>
      <c r="Z1" s="1928"/>
      <c r="AA1" s="1950" t="s">
        <v>129</v>
      </c>
      <c r="AB1" s="1951"/>
      <c r="AC1" s="1951"/>
      <c r="AD1" s="1951"/>
      <c r="AE1" s="1952"/>
    </row>
    <row r="2" spans="1:31" ht="14.25" thickBot="1" thickTop="1">
      <c r="A2" s="1948"/>
      <c r="B2" s="1708" t="s">
        <v>185</v>
      </c>
      <c r="C2" s="128">
        <v>2008</v>
      </c>
      <c r="D2" s="128">
        <v>2007</v>
      </c>
      <c r="E2" s="128">
        <v>2006</v>
      </c>
      <c r="F2" s="128">
        <v>2005</v>
      </c>
      <c r="G2" s="834" t="s">
        <v>180</v>
      </c>
      <c r="H2" s="835">
        <v>2008</v>
      </c>
      <c r="I2" s="835">
        <v>2007</v>
      </c>
      <c r="J2" s="835">
        <v>2006</v>
      </c>
      <c r="K2" s="1710">
        <v>2005</v>
      </c>
      <c r="L2" s="1018" t="s">
        <v>180</v>
      </c>
      <c r="M2" s="130">
        <v>2008</v>
      </c>
      <c r="N2" s="130">
        <v>2007</v>
      </c>
      <c r="O2" s="130">
        <v>2006</v>
      </c>
      <c r="P2" s="227">
        <v>2005</v>
      </c>
      <c r="Q2" s="1056" t="s">
        <v>179</v>
      </c>
      <c r="R2" s="112">
        <v>2008</v>
      </c>
      <c r="S2" s="112">
        <v>2007</v>
      </c>
      <c r="T2" s="112">
        <v>2006</v>
      </c>
      <c r="U2" s="112">
        <v>2005</v>
      </c>
      <c r="V2" s="118" t="s">
        <v>179</v>
      </c>
      <c r="W2" s="114">
        <v>2008</v>
      </c>
      <c r="X2" s="114">
        <v>2006</v>
      </c>
      <c r="Y2" s="114">
        <v>2006</v>
      </c>
      <c r="Z2" s="114">
        <v>2005</v>
      </c>
      <c r="AA2" s="522" t="s">
        <v>179</v>
      </c>
      <c r="AB2" s="523">
        <v>2008</v>
      </c>
      <c r="AC2" s="523">
        <v>2007</v>
      </c>
      <c r="AD2" s="523">
        <v>2006</v>
      </c>
      <c r="AE2" s="524">
        <v>2005</v>
      </c>
    </row>
    <row r="3" spans="1:31" ht="13.5" thickBot="1">
      <c r="A3" s="605"/>
      <c r="B3" s="1876" t="s">
        <v>134</v>
      </c>
      <c r="C3" s="1876"/>
      <c r="D3" s="1876"/>
      <c r="E3" s="1876"/>
      <c r="F3" s="1877"/>
      <c r="G3" s="1875" t="s">
        <v>135</v>
      </c>
      <c r="H3" s="1876"/>
      <c r="I3" s="1876"/>
      <c r="J3" s="1876"/>
      <c r="K3" s="1862"/>
      <c r="L3" s="1930" t="s">
        <v>127</v>
      </c>
      <c r="M3" s="1931"/>
      <c r="N3" s="1931"/>
      <c r="O3" s="1931"/>
      <c r="P3" s="1932"/>
      <c r="Q3" s="1876" t="s">
        <v>101</v>
      </c>
      <c r="R3" s="1876"/>
      <c r="S3" s="1876"/>
      <c r="T3" s="1876"/>
      <c r="U3" s="1877"/>
      <c r="V3" s="1890"/>
      <c r="W3" s="1896"/>
      <c r="X3" s="1822"/>
      <c r="Y3" s="1822"/>
      <c r="Z3" s="1822"/>
      <c r="AA3" s="1930"/>
      <c r="AB3" s="1931"/>
      <c r="AC3" s="1907"/>
      <c r="AD3" s="1907"/>
      <c r="AE3" s="1908"/>
    </row>
    <row r="4" spans="1:31" ht="12.75">
      <c r="A4" s="1709" t="s">
        <v>13</v>
      </c>
      <c r="B4" s="1327">
        <f aca="true" t="shared" si="0" ref="B4:B10">SUM(C4-D4)/D4</f>
        <v>0.9122101594960461</v>
      </c>
      <c r="C4" s="536">
        <v>14267</v>
      </c>
      <c r="D4" s="536">
        <v>7461</v>
      </c>
      <c r="E4" s="536">
        <v>6261</v>
      </c>
      <c r="F4" s="1698">
        <v>4349</v>
      </c>
      <c r="G4" s="1695">
        <f aca="true" t="shared" si="1" ref="G4:G10">SUM(H4-I4)/I4</f>
        <v>-0.1833293182365695</v>
      </c>
      <c r="H4" s="1210">
        <v>20340</v>
      </c>
      <c r="I4" s="1210">
        <v>24906</v>
      </c>
      <c r="J4" s="1210">
        <v>20402</v>
      </c>
      <c r="K4" s="1702">
        <v>22324</v>
      </c>
      <c r="L4" s="143">
        <f aca="true" t="shared" si="2" ref="L4:L10">SUM(M4-N4)/N4</f>
        <v>0.06920629035746285</v>
      </c>
      <c r="M4" s="538">
        <f aca="true" t="shared" si="3" ref="M4:P10">+C4+H4</f>
        <v>34607</v>
      </c>
      <c r="N4" s="538">
        <f t="shared" si="3"/>
        <v>32367</v>
      </c>
      <c r="O4" s="538">
        <f t="shared" si="3"/>
        <v>26663</v>
      </c>
      <c r="P4" s="615">
        <f t="shared" si="3"/>
        <v>26673</v>
      </c>
      <c r="Q4" s="1106">
        <f aca="true" t="shared" si="4" ref="Q4:Q10">SUM(R4-S4)/S4</f>
        <v>-0.16063915283884084</v>
      </c>
      <c r="R4" s="537">
        <v>17755</v>
      </c>
      <c r="S4" s="537">
        <v>21153</v>
      </c>
      <c r="T4" s="537">
        <v>20925</v>
      </c>
      <c r="U4" s="537">
        <v>25088</v>
      </c>
      <c r="V4" s="175">
        <f aca="true" t="shared" si="5" ref="V4:V10">SUM(W4-X4)/X4</f>
        <v>-0.02163677130044843</v>
      </c>
      <c r="W4" s="197">
        <f aca="true" t="shared" si="6" ref="W4:Z10">M4+R4</f>
        <v>52362</v>
      </c>
      <c r="X4" s="197">
        <f t="shared" si="6"/>
        <v>53520</v>
      </c>
      <c r="Y4" s="197">
        <f t="shared" si="6"/>
        <v>47588</v>
      </c>
      <c r="Z4" s="198">
        <f t="shared" si="6"/>
        <v>51761</v>
      </c>
      <c r="AA4" s="1330">
        <f aca="true" t="shared" si="7" ref="AA4:AA10">SUM(AB4-AC4)/AC4</f>
        <v>0.05262001017144926</v>
      </c>
      <c r="AB4" s="525">
        <v>488462</v>
      </c>
      <c r="AC4" s="525">
        <v>464044</v>
      </c>
      <c r="AD4" s="525">
        <v>387010</v>
      </c>
      <c r="AE4" s="528">
        <v>386871</v>
      </c>
    </row>
    <row r="5" spans="1:31" ht="12.75">
      <c r="A5" s="762" t="s">
        <v>14</v>
      </c>
      <c r="B5" s="1328">
        <f t="shared" si="0"/>
        <v>0.8851063829787233</v>
      </c>
      <c r="C5" s="540">
        <v>13733</v>
      </c>
      <c r="D5" s="540">
        <v>7285</v>
      </c>
      <c r="E5" s="540">
        <v>5232</v>
      </c>
      <c r="F5" s="1699">
        <v>4330</v>
      </c>
      <c r="G5" s="1696">
        <f t="shared" si="1"/>
        <v>-0.05488345834341479</v>
      </c>
      <c r="H5" s="1071">
        <v>23437</v>
      </c>
      <c r="I5" s="1071">
        <v>24798</v>
      </c>
      <c r="J5" s="1071">
        <v>23083</v>
      </c>
      <c r="K5" s="1703">
        <v>22918</v>
      </c>
      <c r="L5" s="132">
        <f t="shared" si="2"/>
        <v>0.15855749150640527</v>
      </c>
      <c r="M5" s="542">
        <f t="shared" si="3"/>
        <v>37170</v>
      </c>
      <c r="N5" s="542">
        <f t="shared" si="3"/>
        <v>32083</v>
      </c>
      <c r="O5" s="542">
        <f t="shared" si="3"/>
        <v>28315</v>
      </c>
      <c r="P5" s="616">
        <f t="shared" si="3"/>
        <v>27248</v>
      </c>
      <c r="Q5" s="1107">
        <f t="shared" si="4"/>
        <v>0.3321351135455894</v>
      </c>
      <c r="R5" s="541">
        <v>23347</v>
      </c>
      <c r="S5" s="541">
        <v>17526</v>
      </c>
      <c r="T5" s="541">
        <v>20770</v>
      </c>
      <c r="U5" s="541">
        <v>18244</v>
      </c>
      <c r="V5" s="120">
        <f t="shared" si="5"/>
        <v>0.21987945735652806</v>
      </c>
      <c r="W5" s="121">
        <f t="shared" si="6"/>
        <v>60517</v>
      </c>
      <c r="X5" s="121">
        <f t="shared" si="6"/>
        <v>49609</v>
      </c>
      <c r="Y5" s="121">
        <f t="shared" si="6"/>
        <v>49085</v>
      </c>
      <c r="Z5" s="122">
        <f t="shared" si="6"/>
        <v>45492</v>
      </c>
      <c r="AA5" s="1331">
        <f t="shared" si="7"/>
        <v>0.1471679527896427</v>
      </c>
      <c r="AB5" s="527">
        <v>519417</v>
      </c>
      <c r="AC5" s="527">
        <v>452782</v>
      </c>
      <c r="AD5" s="527">
        <v>398890</v>
      </c>
      <c r="AE5" s="529">
        <v>392407</v>
      </c>
    </row>
    <row r="6" spans="1:31" ht="12.75">
      <c r="A6" s="762" t="s">
        <v>15</v>
      </c>
      <c r="B6" s="1328">
        <f t="shared" si="0"/>
        <v>0.4445122695641558</v>
      </c>
      <c r="C6" s="540">
        <v>11832</v>
      </c>
      <c r="D6" s="540">
        <v>8191</v>
      </c>
      <c r="E6" s="540">
        <v>5528</v>
      </c>
      <c r="F6" s="1699">
        <v>4333</v>
      </c>
      <c r="G6" s="1696">
        <f t="shared" si="1"/>
        <v>-0.016680954422060294</v>
      </c>
      <c r="H6" s="1071">
        <v>27529</v>
      </c>
      <c r="I6" s="1071">
        <v>27996</v>
      </c>
      <c r="J6" s="1071">
        <v>24790</v>
      </c>
      <c r="K6" s="1703">
        <v>28386</v>
      </c>
      <c r="L6" s="132">
        <f t="shared" si="2"/>
        <v>0.0877110564567386</v>
      </c>
      <c r="M6" s="542">
        <f t="shared" si="3"/>
        <v>39361</v>
      </c>
      <c r="N6" s="542">
        <f t="shared" si="3"/>
        <v>36187</v>
      </c>
      <c r="O6" s="542">
        <f t="shared" si="3"/>
        <v>30318</v>
      </c>
      <c r="P6" s="616">
        <f t="shared" si="3"/>
        <v>32719</v>
      </c>
      <c r="Q6" s="1107">
        <f t="shared" si="4"/>
        <v>-0.07389162561576355</v>
      </c>
      <c r="R6" s="541">
        <v>19552</v>
      </c>
      <c r="S6" s="541">
        <v>21112</v>
      </c>
      <c r="T6" s="541">
        <v>22973</v>
      </c>
      <c r="U6" s="541">
        <v>23680</v>
      </c>
      <c r="V6" s="120">
        <f t="shared" si="5"/>
        <v>0.028168030855686834</v>
      </c>
      <c r="W6" s="121">
        <f t="shared" si="6"/>
        <v>58913</v>
      </c>
      <c r="X6" s="121">
        <f t="shared" si="6"/>
        <v>57299</v>
      </c>
      <c r="Y6" s="121">
        <f t="shared" si="6"/>
        <v>53291</v>
      </c>
      <c r="Z6" s="122">
        <f t="shared" si="6"/>
        <v>56399</v>
      </c>
      <c r="AA6" s="1331">
        <f t="shared" si="7"/>
        <v>0.09891156355508685</v>
      </c>
      <c r="AB6" s="527">
        <v>558524</v>
      </c>
      <c r="AC6" s="527">
        <v>508252</v>
      </c>
      <c r="AD6" s="527">
        <v>426248</v>
      </c>
      <c r="AE6" s="529">
        <v>470214</v>
      </c>
    </row>
    <row r="7" spans="1:31" ht="12.75">
      <c r="A7" s="762" t="s">
        <v>16</v>
      </c>
      <c r="B7" s="1328">
        <f t="shared" si="0"/>
        <v>0.556199460916442</v>
      </c>
      <c r="C7" s="540">
        <v>11547</v>
      </c>
      <c r="D7" s="540">
        <v>7420</v>
      </c>
      <c r="E7" s="540">
        <v>5793</v>
      </c>
      <c r="F7" s="1699">
        <v>4415</v>
      </c>
      <c r="G7" s="1696">
        <f t="shared" si="1"/>
        <v>-0.1702571748043235</v>
      </c>
      <c r="H7" s="1071">
        <v>22262</v>
      </c>
      <c r="I7" s="1071">
        <v>26830</v>
      </c>
      <c r="J7" s="1071">
        <v>24999</v>
      </c>
      <c r="K7" s="1703">
        <v>26639</v>
      </c>
      <c r="L7" s="132">
        <f t="shared" si="2"/>
        <v>-0.012875912408759124</v>
      </c>
      <c r="M7" s="542">
        <f t="shared" si="3"/>
        <v>33809</v>
      </c>
      <c r="N7" s="542">
        <f t="shared" si="3"/>
        <v>34250</v>
      </c>
      <c r="O7" s="542">
        <f t="shared" si="3"/>
        <v>30792</v>
      </c>
      <c r="P7" s="616">
        <f t="shared" si="3"/>
        <v>31054</v>
      </c>
      <c r="Q7" s="1107">
        <f t="shared" si="4"/>
        <v>-0.12468615858103183</v>
      </c>
      <c r="R7" s="541">
        <v>21615</v>
      </c>
      <c r="S7" s="541">
        <v>24694</v>
      </c>
      <c r="T7" s="541">
        <v>17140</v>
      </c>
      <c r="U7" s="541">
        <v>26940</v>
      </c>
      <c r="V7" s="120">
        <f t="shared" si="5"/>
        <v>-0.05971769815418024</v>
      </c>
      <c r="W7" s="121">
        <f t="shared" si="6"/>
        <v>55424</v>
      </c>
      <c r="X7" s="121">
        <f t="shared" si="6"/>
        <v>58944</v>
      </c>
      <c r="Y7" s="121">
        <f t="shared" si="6"/>
        <v>47932</v>
      </c>
      <c r="Z7" s="122">
        <f t="shared" si="6"/>
        <v>57994</v>
      </c>
      <c r="AA7" s="1331">
        <f t="shared" si="7"/>
        <v>0.008450545881529967</v>
      </c>
      <c r="AB7" s="527">
        <v>484383</v>
      </c>
      <c r="AC7" s="527">
        <v>480324</v>
      </c>
      <c r="AD7" s="527">
        <v>435789</v>
      </c>
      <c r="AE7" s="529">
        <v>439229</v>
      </c>
    </row>
    <row r="8" spans="1:31" ht="12.75">
      <c r="A8" s="762" t="s">
        <v>17</v>
      </c>
      <c r="B8" s="1328">
        <f t="shared" si="0"/>
        <v>0.46183352512466436</v>
      </c>
      <c r="C8" s="540">
        <v>11433</v>
      </c>
      <c r="D8" s="540">
        <v>7821</v>
      </c>
      <c r="E8" s="540">
        <v>7560</v>
      </c>
      <c r="F8" s="1699">
        <v>4706</v>
      </c>
      <c r="G8" s="1696">
        <f t="shared" si="1"/>
        <v>0.045162994265016604</v>
      </c>
      <c r="H8" s="1071">
        <v>27701</v>
      </c>
      <c r="I8" s="1071">
        <v>26504</v>
      </c>
      <c r="J8" s="1071">
        <v>26669</v>
      </c>
      <c r="K8" s="1703">
        <v>28970</v>
      </c>
      <c r="L8" s="132">
        <f t="shared" si="2"/>
        <v>0.14010196649672252</v>
      </c>
      <c r="M8" s="542">
        <f t="shared" si="3"/>
        <v>39134</v>
      </c>
      <c r="N8" s="542">
        <f t="shared" si="3"/>
        <v>34325</v>
      </c>
      <c r="O8" s="542">
        <f t="shared" si="3"/>
        <v>34229</v>
      </c>
      <c r="P8" s="616">
        <f t="shared" si="3"/>
        <v>33676</v>
      </c>
      <c r="Q8" s="1107">
        <f t="shared" si="4"/>
        <v>-0.08884641971292644</v>
      </c>
      <c r="R8" s="541">
        <v>22408</v>
      </c>
      <c r="S8" s="541">
        <v>24593</v>
      </c>
      <c r="T8" s="541">
        <v>27236</v>
      </c>
      <c r="U8" s="541">
        <v>27178</v>
      </c>
      <c r="V8" s="120">
        <f t="shared" si="5"/>
        <v>0.04453647442207814</v>
      </c>
      <c r="W8" s="121">
        <f t="shared" si="6"/>
        <v>61542</v>
      </c>
      <c r="X8" s="121">
        <f t="shared" si="6"/>
        <v>58918</v>
      </c>
      <c r="Y8" s="121">
        <f t="shared" si="6"/>
        <v>61465</v>
      </c>
      <c r="Z8" s="122">
        <f t="shared" si="6"/>
        <v>60854</v>
      </c>
      <c r="AA8" s="1331">
        <f t="shared" si="7"/>
        <v>0.17350329854962648</v>
      </c>
      <c r="AB8" s="527">
        <v>569933</v>
      </c>
      <c r="AC8" s="527">
        <v>485668</v>
      </c>
      <c r="AD8" s="527">
        <v>489690</v>
      </c>
      <c r="AE8" s="529">
        <v>477721</v>
      </c>
    </row>
    <row r="9" spans="1:31" ht="12.75">
      <c r="A9" s="762" t="s">
        <v>18</v>
      </c>
      <c r="B9" s="1328">
        <f t="shared" si="0"/>
        <v>0.5134975834020983</v>
      </c>
      <c r="C9" s="540">
        <v>12839</v>
      </c>
      <c r="D9" s="540">
        <v>8483</v>
      </c>
      <c r="E9" s="540">
        <v>7050</v>
      </c>
      <c r="F9" s="1699">
        <v>5062</v>
      </c>
      <c r="G9" s="1696">
        <f t="shared" si="1"/>
        <v>-0.017494648261607737</v>
      </c>
      <c r="H9" s="1071">
        <v>26620</v>
      </c>
      <c r="I9" s="1071">
        <v>27094</v>
      </c>
      <c r="J9" s="1071">
        <v>26501</v>
      </c>
      <c r="K9" s="1703">
        <v>27773</v>
      </c>
      <c r="L9" s="132">
        <f t="shared" si="2"/>
        <v>0.10911543975040054</v>
      </c>
      <c r="M9" s="542">
        <f t="shared" si="3"/>
        <v>39459</v>
      </c>
      <c r="N9" s="542">
        <f t="shared" si="3"/>
        <v>35577</v>
      </c>
      <c r="O9" s="542">
        <f t="shared" si="3"/>
        <v>33551</v>
      </c>
      <c r="P9" s="616">
        <f t="shared" si="3"/>
        <v>32835</v>
      </c>
      <c r="Q9" s="1107">
        <f t="shared" si="4"/>
        <v>0.061576131314047336</v>
      </c>
      <c r="R9" s="541">
        <v>23412</v>
      </c>
      <c r="S9" s="541">
        <v>22054</v>
      </c>
      <c r="T9" s="541">
        <v>27531</v>
      </c>
      <c r="U9" s="544">
        <v>26761</v>
      </c>
      <c r="V9" s="120">
        <f t="shared" si="5"/>
        <v>0.09092328781385019</v>
      </c>
      <c r="W9" s="121">
        <f t="shared" si="6"/>
        <v>62871</v>
      </c>
      <c r="X9" s="121">
        <f t="shared" si="6"/>
        <v>57631</v>
      </c>
      <c r="Y9" s="121">
        <f t="shared" si="6"/>
        <v>61082</v>
      </c>
      <c r="Z9" s="122">
        <f t="shared" si="6"/>
        <v>59596</v>
      </c>
      <c r="AA9" s="1331">
        <f t="shared" si="7"/>
        <v>0.12188545117370148</v>
      </c>
      <c r="AB9" s="527">
        <v>566247</v>
      </c>
      <c r="AC9" s="527">
        <v>504728</v>
      </c>
      <c r="AD9" s="527">
        <v>478253</v>
      </c>
      <c r="AE9" s="529">
        <v>457090</v>
      </c>
    </row>
    <row r="10" spans="1:31" ht="12.75">
      <c r="A10" s="762" t="s">
        <v>19</v>
      </c>
      <c r="B10" s="1328">
        <f t="shared" si="0"/>
        <v>0.40888746803069054</v>
      </c>
      <c r="C10" s="540">
        <v>13221</v>
      </c>
      <c r="D10" s="540">
        <v>9384</v>
      </c>
      <c r="E10" s="540">
        <v>7193</v>
      </c>
      <c r="F10" s="1699">
        <v>5593</v>
      </c>
      <c r="G10" s="1696">
        <f t="shared" si="1"/>
        <v>0.013851011913305584</v>
      </c>
      <c r="H10" s="1071">
        <v>28254</v>
      </c>
      <c r="I10" s="1071">
        <v>27868</v>
      </c>
      <c r="J10" s="1071">
        <v>28241</v>
      </c>
      <c r="K10" s="1703">
        <v>27368</v>
      </c>
      <c r="L10" s="132">
        <f t="shared" si="2"/>
        <v>0.11336304091055514</v>
      </c>
      <c r="M10" s="542">
        <f t="shared" si="3"/>
        <v>41475</v>
      </c>
      <c r="N10" s="542">
        <f aca="true" t="shared" si="8" ref="N10:P16">+D10+I10</f>
        <v>37252</v>
      </c>
      <c r="O10" s="542">
        <f t="shared" si="8"/>
        <v>35434</v>
      </c>
      <c r="P10" s="616">
        <f t="shared" si="8"/>
        <v>32961</v>
      </c>
      <c r="Q10" s="1107">
        <f t="shared" si="4"/>
        <v>0.24687435949989753</v>
      </c>
      <c r="R10" s="541">
        <v>24334</v>
      </c>
      <c r="S10" s="541">
        <v>19516</v>
      </c>
      <c r="T10" s="541">
        <v>29120</v>
      </c>
      <c r="U10" s="541">
        <v>25193</v>
      </c>
      <c r="V10" s="120">
        <f t="shared" si="5"/>
        <v>0.15926226042841038</v>
      </c>
      <c r="W10" s="121">
        <f t="shared" si="6"/>
        <v>65809</v>
      </c>
      <c r="X10" s="121">
        <f aca="true" t="shared" si="9" ref="X10:Z16">N10+S10</f>
        <v>56768</v>
      </c>
      <c r="Y10" s="121">
        <f t="shared" si="9"/>
        <v>64554</v>
      </c>
      <c r="Z10" s="122">
        <f t="shared" si="9"/>
        <v>58154</v>
      </c>
      <c r="AA10" s="1331">
        <f t="shared" si="7"/>
        <v>0.13093212960606507</v>
      </c>
      <c r="AB10" s="527">
        <v>591024</v>
      </c>
      <c r="AC10" s="527">
        <v>522599</v>
      </c>
      <c r="AD10" s="527">
        <v>499990</v>
      </c>
      <c r="AE10" s="529">
        <v>467075</v>
      </c>
    </row>
    <row r="11" spans="1:31" ht="12.75">
      <c r="A11" s="762" t="s">
        <v>20</v>
      </c>
      <c r="B11" s="1328"/>
      <c r="C11" s="540"/>
      <c r="D11" s="540">
        <v>9305</v>
      </c>
      <c r="E11" s="540">
        <v>8049</v>
      </c>
      <c r="F11" s="1699">
        <v>5555</v>
      </c>
      <c r="G11" s="1696"/>
      <c r="H11" s="1071"/>
      <c r="I11" s="1071">
        <v>28561</v>
      </c>
      <c r="J11" s="1071">
        <v>27698</v>
      </c>
      <c r="K11" s="1703">
        <v>24594</v>
      </c>
      <c r="L11" s="132"/>
      <c r="M11" s="542"/>
      <c r="N11" s="542">
        <f t="shared" si="8"/>
        <v>37866</v>
      </c>
      <c r="O11" s="542">
        <f t="shared" si="8"/>
        <v>35747</v>
      </c>
      <c r="P11" s="616">
        <f t="shared" si="8"/>
        <v>30149</v>
      </c>
      <c r="Q11" s="1107"/>
      <c r="R11" s="541"/>
      <c r="S11" s="541">
        <v>24525</v>
      </c>
      <c r="T11" s="541">
        <v>21639</v>
      </c>
      <c r="U11" s="541">
        <v>23591</v>
      </c>
      <c r="V11" s="120"/>
      <c r="W11" s="121"/>
      <c r="X11" s="121">
        <f t="shared" si="9"/>
        <v>62391</v>
      </c>
      <c r="Y11" s="121">
        <f t="shared" si="9"/>
        <v>57386</v>
      </c>
      <c r="Z11" s="122">
        <f t="shared" si="9"/>
        <v>53740</v>
      </c>
      <c r="AA11" s="1331"/>
      <c r="AB11" s="527"/>
      <c r="AC11" s="527">
        <v>529729</v>
      </c>
      <c r="AD11" s="527">
        <v>502389</v>
      </c>
      <c r="AE11" s="529">
        <v>422322</v>
      </c>
    </row>
    <row r="12" spans="1:31" ht="12.75">
      <c r="A12" s="762" t="s">
        <v>21</v>
      </c>
      <c r="B12" s="1328"/>
      <c r="C12" s="540"/>
      <c r="D12" s="540">
        <v>10102</v>
      </c>
      <c r="E12" s="540">
        <v>8181</v>
      </c>
      <c r="F12" s="1699">
        <v>5629</v>
      </c>
      <c r="G12" s="1696"/>
      <c r="H12" s="1071"/>
      <c r="I12" s="1071">
        <v>25680</v>
      </c>
      <c r="J12" s="1071">
        <v>28558</v>
      </c>
      <c r="K12" s="1703">
        <v>23576</v>
      </c>
      <c r="L12" s="132"/>
      <c r="M12" s="542"/>
      <c r="N12" s="542">
        <f t="shared" si="8"/>
        <v>35782</v>
      </c>
      <c r="O12" s="542">
        <f t="shared" si="8"/>
        <v>36739</v>
      </c>
      <c r="P12" s="616">
        <f t="shared" si="8"/>
        <v>29205</v>
      </c>
      <c r="Q12" s="1107"/>
      <c r="R12" s="541"/>
      <c r="S12" s="541">
        <v>18397</v>
      </c>
      <c r="T12" s="541">
        <v>28219</v>
      </c>
      <c r="U12" s="541">
        <v>25077</v>
      </c>
      <c r="V12" s="120"/>
      <c r="W12" s="121"/>
      <c r="X12" s="121">
        <f t="shared" si="9"/>
        <v>54179</v>
      </c>
      <c r="Y12" s="121">
        <f t="shared" si="9"/>
        <v>64958</v>
      </c>
      <c r="Z12" s="122">
        <f t="shared" si="9"/>
        <v>54282</v>
      </c>
      <c r="AA12" s="1331"/>
      <c r="AB12" s="527"/>
      <c r="AC12" s="527">
        <v>495173</v>
      </c>
      <c r="AD12" s="527">
        <v>519863</v>
      </c>
      <c r="AE12" s="529">
        <v>409892</v>
      </c>
    </row>
    <row r="13" spans="1:31" ht="12.75">
      <c r="A13" s="762" t="s">
        <v>22</v>
      </c>
      <c r="B13" s="1328"/>
      <c r="C13" s="540"/>
      <c r="D13" s="540">
        <v>12785</v>
      </c>
      <c r="E13" s="540">
        <v>6902</v>
      </c>
      <c r="F13" s="1699">
        <v>5846</v>
      </c>
      <c r="G13" s="1696"/>
      <c r="H13" s="1071"/>
      <c r="I13" s="1071">
        <v>26904</v>
      </c>
      <c r="J13" s="1071">
        <v>28949</v>
      </c>
      <c r="K13" s="1703">
        <v>22789</v>
      </c>
      <c r="L13" s="132"/>
      <c r="M13" s="542"/>
      <c r="N13" s="542">
        <f t="shared" si="8"/>
        <v>39689</v>
      </c>
      <c r="O13" s="542">
        <f t="shared" si="8"/>
        <v>35851</v>
      </c>
      <c r="P13" s="616">
        <f t="shared" si="8"/>
        <v>28635</v>
      </c>
      <c r="Q13" s="1107"/>
      <c r="R13" s="541"/>
      <c r="S13" s="541">
        <v>20562</v>
      </c>
      <c r="T13" s="541">
        <v>22311</v>
      </c>
      <c r="U13" s="541">
        <v>26560</v>
      </c>
      <c r="V13" s="120"/>
      <c r="W13" s="121"/>
      <c r="X13" s="121">
        <f t="shared" si="9"/>
        <v>60251</v>
      </c>
      <c r="Y13" s="121">
        <f t="shared" si="9"/>
        <v>58162</v>
      </c>
      <c r="Z13" s="122">
        <f t="shared" si="9"/>
        <v>55195</v>
      </c>
      <c r="AA13" s="1331"/>
      <c r="AB13" s="527"/>
      <c r="AC13" s="527">
        <v>560003</v>
      </c>
      <c r="AD13" s="527">
        <v>506603</v>
      </c>
      <c r="AE13" s="529">
        <v>407994</v>
      </c>
    </row>
    <row r="14" spans="1:31" ht="12.75">
      <c r="A14" s="762" t="s">
        <v>23</v>
      </c>
      <c r="B14" s="1328"/>
      <c r="C14" s="540"/>
      <c r="D14" s="540">
        <v>13111</v>
      </c>
      <c r="E14" s="540">
        <v>6501</v>
      </c>
      <c r="F14" s="1699">
        <v>5431</v>
      </c>
      <c r="G14" s="1696"/>
      <c r="H14" s="1071"/>
      <c r="I14" s="1071">
        <v>24940</v>
      </c>
      <c r="J14" s="1071">
        <v>27277</v>
      </c>
      <c r="K14" s="1703">
        <v>20704</v>
      </c>
      <c r="L14" s="132"/>
      <c r="M14" s="542"/>
      <c r="N14" s="542">
        <f t="shared" si="8"/>
        <v>38051</v>
      </c>
      <c r="O14" s="542">
        <f t="shared" si="8"/>
        <v>33778</v>
      </c>
      <c r="P14" s="616">
        <f t="shared" si="8"/>
        <v>26135</v>
      </c>
      <c r="Q14" s="1107"/>
      <c r="R14" s="541"/>
      <c r="S14" s="541">
        <v>15340</v>
      </c>
      <c r="T14" s="541">
        <v>25719</v>
      </c>
      <c r="U14" s="541">
        <v>21608</v>
      </c>
      <c r="V14" s="120"/>
      <c r="W14" s="121"/>
      <c r="X14" s="121">
        <f t="shared" si="9"/>
        <v>53391</v>
      </c>
      <c r="Y14" s="121">
        <f t="shared" si="9"/>
        <v>59497</v>
      </c>
      <c r="Z14" s="122">
        <f t="shared" si="9"/>
        <v>47743</v>
      </c>
      <c r="AA14" s="1331"/>
      <c r="AB14" s="527"/>
      <c r="AC14" s="527">
        <v>533471</v>
      </c>
      <c r="AD14" s="527">
        <v>471426</v>
      </c>
      <c r="AE14" s="529">
        <v>370268</v>
      </c>
    </row>
    <row r="15" spans="1:31" ht="13.5" thickBot="1">
      <c r="A15" s="771" t="s">
        <v>24</v>
      </c>
      <c r="B15" s="1329"/>
      <c r="C15" s="1700"/>
      <c r="D15" s="1700">
        <v>12416</v>
      </c>
      <c r="E15" s="1700">
        <v>7217</v>
      </c>
      <c r="F15" s="1701">
        <v>5339</v>
      </c>
      <c r="G15" s="1697"/>
      <c r="H15" s="1211"/>
      <c r="I15" s="1071">
        <v>25154</v>
      </c>
      <c r="J15" s="1211">
        <v>30922</v>
      </c>
      <c r="K15" s="1704">
        <v>24393</v>
      </c>
      <c r="L15" s="516"/>
      <c r="M15" s="1602"/>
      <c r="N15" s="1602">
        <f t="shared" si="8"/>
        <v>37570</v>
      </c>
      <c r="O15" s="1602">
        <f t="shared" si="8"/>
        <v>38139</v>
      </c>
      <c r="P15" s="1706">
        <f t="shared" si="8"/>
        <v>29732</v>
      </c>
      <c r="Q15" s="1705"/>
      <c r="R15" s="545"/>
      <c r="S15" s="545">
        <v>21381</v>
      </c>
      <c r="T15" s="545">
        <v>25205</v>
      </c>
      <c r="U15" s="545">
        <v>16854</v>
      </c>
      <c r="V15" s="521"/>
      <c r="W15" s="124"/>
      <c r="X15" s="124">
        <f t="shared" si="9"/>
        <v>58951</v>
      </c>
      <c r="Y15" s="124">
        <f t="shared" si="9"/>
        <v>63344</v>
      </c>
      <c r="Z15" s="125">
        <f t="shared" si="9"/>
        <v>46586</v>
      </c>
      <c r="AA15" s="1332"/>
      <c r="AB15" s="1681"/>
      <c r="AC15" s="1681">
        <v>532694</v>
      </c>
      <c r="AD15" s="1681">
        <v>539725</v>
      </c>
      <c r="AE15" s="1682">
        <v>425330</v>
      </c>
    </row>
    <row r="16" spans="1:31" s="310" customFormat="1" ht="12.75">
      <c r="A16" s="638" t="s">
        <v>25</v>
      </c>
      <c r="B16" s="588">
        <f>SUM(C16-D16)/D16</f>
        <v>0.5857257560888571</v>
      </c>
      <c r="C16" s="332">
        <f>SUM(C4:C10)</f>
        <v>88872</v>
      </c>
      <c r="D16" s="332">
        <f>SUM(D4:D10)</f>
        <v>56045</v>
      </c>
      <c r="E16" s="332">
        <f>SUM(E4:E10)</f>
        <v>44617</v>
      </c>
      <c r="F16" s="332">
        <f>SUM(F4:F10)</f>
        <v>32788</v>
      </c>
      <c r="G16" s="396">
        <f>SUM(H16-I16)/I16</f>
        <v>-0.05297425751091421</v>
      </c>
      <c r="H16" s="332">
        <f>SUM(H4:H10)</f>
        <v>176143</v>
      </c>
      <c r="I16" s="332">
        <f>SUM(I4:I10)</f>
        <v>185996</v>
      </c>
      <c r="J16" s="332">
        <f>SUM(J4:J10)</f>
        <v>174685</v>
      </c>
      <c r="K16" s="332">
        <f>SUM(K4:K10)</f>
        <v>184378</v>
      </c>
      <c r="L16" s="588">
        <f>SUM(M16-N16)/N16</f>
        <v>0.0949178031821055</v>
      </c>
      <c r="M16" s="1707">
        <f>+C16+H16</f>
        <v>265015</v>
      </c>
      <c r="N16" s="1707">
        <f t="shared" si="8"/>
        <v>242041</v>
      </c>
      <c r="O16" s="1707">
        <f t="shared" si="8"/>
        <v>219302</v>
      </c>
      <c r="P16" s="1711">
        <f t="shared" si="8"/>
        <v>217166</v>
      </c>
      <c r="Q16" s="1019">
        <f>SUM(R16-S16)/S16</f>
        <v>0.011782433221815092</v>
      </c>
      <c r="R16" s="332">
        <f>SUM(R4:R10)</f>
        <v>152423</v>
      </c>
      <c r="S16" s="332">
        <f>SUM(S4:S10)</f>
        <v>150648</v>
      </c>
      <c r="T16" s="332">
        <f>SUM(T4:T10)</f>
        <v>165695</v>
      </c>
      <c r="U16" s="332">
        <f>SUM(U4:U10)</f>
        <v>173084</v>
      </c>
      <c r="V16" s="588">
        <f>SUM(W16-X16)/X16</f>
        <v>0.063024429001067</v>
      </c>
      <c r="W16" s="101">
        <f>M16+R16</f>
        <v>417438</v>
      </c>
      <c r="X16" s="101">
        <f t="shared" si="9"/>
        <v>392689</v>
      </c>
      <c r="Y16" s="101">
        <f t="shared" si="9"/>
        <v>384997</v>
      </c>
      <c r="Z16" s="101">
        <f t="shared" si="9"/>
        <v>390250</v>
      </c>
      <c r="AA16" s="396">
        <f>SUM(AB16-AC16)/AC16</f>
        <v>0.10519345763526003</v>
      </c>
      <c r="AB16" s="332">
        <f>SUM(AB4:AB10)</f>
        <v>3777990</v>
      </c>
      <c r="AC16" s="332">
        <f>SUM(AC4:AC10)</f>
        <v>3418397</v>
      </c>
      <c r="AD16" s="332">
        <f>SUM(AD4:AD10)</f>
        <v>3115870</v>
      </c>
      <c r="AE16" s="332">
        <f>SUM(AE4:AE10)</f>
        <v>3090607</v>
      </c>
    </row>
    <row r="17" spans="1:31" ht="13.5" thickBot="1">
      <c r="A17" s="548" t="s">
        <v>26</v>
      </c>
      <c r="B17" s="313">
        <f>SUM(C17-D17)/D17</f>
        <v>0.33919341795295516</v>
      </c>
      <c r="C17" s="102">
        <f>AVERAGE(C4:C15)</f>
        <v>12696</v>
      </c>
      <c r="D17" s="102">
        <f>AVERAGE(D4:D15)</f>
        <v>9480.333333333334</v>
      </c>
      <c r="E17" s="102">
        <f>AVERAGE(E4:E15)</f>
        <v>6788.916666666667</v>
      </c>
      <c r="F17" s="102">
        <f>AVERAGE(F4:F15)</f>
        <v>5049</v>
      </c>
      <c r="G17" s="313">
        <f>SUM(H17-I17)/I17</f>
        <v>-0.04815222604243364</v>
      </c>
      <c r="H17" s="102">
        <f>AVERAGE(H4:H15)</f>
        <v>25163.285714285714</v>
      </c>
      <c r="I17" s="102">
        <f>AVERAGE(I4:I15)</f>
        <v>26436.25</v>
      </c>
      <c r="J17" s="102">
        <f>AVERAGE(J4:J15)</f>
        <v>26507.416666666668</v>
      </c>
      <c r="K17" s="356">
        <f>AVERAGE(K4:K15)</f>
        <v>25036.166666666668</v>
      </c>
      <c r="L17" s="313">
        <f>SUM(M17-N17)/N17</f>
        <v>0.05408928691581321</v>
      </c>
      <c r="M17" s="102">
        <f>AVERAGE(M4:M15)</f>
        <v>37859.28571428572</v>
      </c>
      <c r="N17" s="102">
        <f>AVERAGE(N4:N15)</f>
        <v>35916.583333333336</v>
      </c>
      <c r="O17" s="102">
        <f>AVERAGE(O4:O15)</f>
        <v>33296.333333333336</v>
      </c>
      <c r="P17" s="312">
        <f>AVERAGE(P4:P15)</f>
        <v>30085.166666666668</v>
      </c>
      <c r="Q17" s="879">
        <f>SUM(R17-S17)/S17</f>
        <v>0.041632236523268286</v>
      </c>
      <c r="R17" s="384">
        <f>AVERAGE(R4:R15)</f>
        <v>21774.714285714286</v>
      </c>
      <c r="S17" s="384">
        <f>AVERAGE(S4:S15)</f>
        <v>20904.416666666668</v>
      </c>
      <c r="T17" s="384">
        <f>AVERAGE(T4:T15)</f>
        <v>24065.666666666668</v>
      </c>
      <c r="U17" s="102">
        <f>AVERAGE(U4:U15)</f>
        <v>23897.833333333332</v>
      </c>
      <c r="V17" s="313">
        <f>SUM(W17-X17)/X17</f>
        <v>0.049506344485313526</v>
      </c>
      <c r="W17" s="102">
        <f>AVERAGE(W4:W15)</f>
        <v>59634</v>
      </c>
      <c r="X17" s="102">
        <f>AVERAGE(X4:X15)</f>
        <v>56821</v>
      </c>
      <c r="Y17" s="102">
        <f>AVERAGE(Y4:Y15)</f>
        <v>57362</v>
      </c>
      <c r="Z17" s="102">
        <f>AVERAGE(Z4:Z15)</f>
        <v>53983</v>
      </c>
      <c r="AA17" s="313">
        <f>SUM(AB17-AC17)/AC17</f>
        <v>0.06707134015462736</v>
      </c>
      <c r="AB17" s="102">
        <f>AVERAGE(AB4:AB15)</f>
        <v>539712.8571428572</v>
      </c>
      <c r="AC17" s="102">
        <f>AVERAGE(AC4:AC15)</f>
        <v>505788.9166666667</v>
      </c>
      <c r="AD17" s="102">
        <f>AVERAGE(AD4:AD15)</f>
        <v>471323</v>
      </c>
      <c r="AE17" s="312">
        <f>AVERAGE(AE4:AE15)</f>
        <v>427201.0833333333</v>
      </c>
    </row>
  </sheetData>
  <mergeCells count="12">
    <mergeCell ref="A1:A2"/>
    <mergeCell ref="L1:P1"/>
    <mergeCell ref="Q1:U1"/>
    <mergeCell ref="V1:Z1"/>
    <mergeCell ref="AA1:AE1"/>
    <mergeCell ref="B3:F3"/>
    <mergeCell ref="G3:K3"/>
    <mergeCell ref="Q3:U3"/>
    <mergeCell ref="V3:Z3"/>
    <mergeCell ref="AA3:AE3"/>
    <mergeCell ref="B1:K1"/>
    <mergeCell ref="L3:P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7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"/>
    </sheetView>
  </sheetViews>
  <sheetFormatPr defaultColWidth="9.140625" defaultRowHeight="12.75"/>
  <cols>
    <col min="1" max="1" width="14.57421875" style="11" customWidth="1"/>
    <col min="2" max="2" width="10.00390625" style="10" bestFit="1" customWidth="1"/>
    <col min="3" max="4" width="6.8515625" style="10" customWidth="1"/>
    <col min="5" max="9" width="6.8515625" style="11" customWidth="1"/>
    <col min="10" max="10" width="10.00390625" style="10" bestFit="1" customWidth="1"/>
    <col min="11" max="17" width="7.7109375" style="11" customWidth="1"/>
    <col min="18" max="18" width="10.00390625" style="11" customWidth="1"/>
    <col min="19" max="25" width="6.57421875" style="11" customWidth="1"/>
    <col min="26" max="26" width="10.00390625" style="10" bestFit="1" customWidth="1"/>
    <col min="27" max="33" width="7.7109375" style="11" customWidth="1"/>
    <col min="34" max="34" width="10.00390625" style="10" bestFit="1" customWidth="1"/>
    <col min="35" max="41" width="6.57421875" style="11" customWidth="1"/>
    <col min="42" max="16384" width="9.140625" style="11" customWidth="1"/>
  </cols>
  <sheetData>
    <row r="1" spans="1:41" s="826" customFormat="1" ht="13.5" thickBot="1">
      <c r="A1" s="1866" t="s">
        <v>122</v>
      </c>
      <c r="B1" s="283"/>
      <c r="C1" s="552"/>
      <c r="D1" s="552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7"/>
      <c r="AA1" s="277"/>
      <c r="AB1" s="277"/>
      <c r="AC1" s="277"/>
      <c r="AD1" s="277"/>
      <c r="AE1" s="277"/>
      <c r="AF1" s="277"/>
      <c r="AG1" s="278"/>
      <c r="AH1" s="277"/>
      <c r="AI1" s="277"/>
      <c r="AJ1" s="277"/>
      <c r="AK1" s="1959"/>
      <c r="AL1" s="1959"/>
      <c r="AM1" s="1959"/>
      <c r="AN1" s="1959"/>
      <c r="AO1" s="1960"/>
    </row>
    <row r="2" spans="1:41" s="826" customFormat="1" ht="13.5" thickBot="1">
      <c r="A2" s="1958"/>
      <c r="B2" s="663" t="s">
        <v>179</v>
      </c>
      <c r="C2" s="466">
        <v>2007</v>
      </c>
      <c r="D2" s="466">
        <v>2007</v>
      </c>
      <c r="E2" s="466">
        <v>2006</v>
      </c>
      <c r="F2" s="466">
        <v>2005</v>
      </c>
      <c r="G2" s="466">
        <v>2004</v>
      </c>
      <c r="H2" s="466">
        <v>2003</v>
      </c>
      <c r="I2" s="664">
        <v>2002</v>
      </c>
      <c r="J2" s="117" t="s">
        <v>179</v>
      </c>
      <c r="K2" s="112">
        <v>2008</v>
      </c>
      <c r="L2" s="112">
        <v>2007</v>
      </c>
      <c r="M2" s="112">
        <v>2006</v>
      </c>
      <c r="N2" s="112">
        <v>2005</v>
      </c>
      <c r="O2" s="112">
        <v>2004</v>
      </c>
      <c r="P2" s="112">
        <v>2003</v>
      </c>
      <c r="Q2" s="113">
        <v>2002</v>
      </c>
      <c r="R2" s="284" t="s">
        <v>179</v>
      </c>
      <c r="S2" s="285">
        <v>2008</v>
      </c>
      <c r="T2" s="285">
        <v>2007</v>
      </c>
      <c r="U2" s="285">
        <v>2006</v>
      </c>
      <c r="V2" s="285">
        <v>2005</v>
      </c>
      <c r="W2" s="285">
        <v>2004</v>
      </c>
      <c r="X2" s="285">
        <v>2003</v>
      </c>
      <c r="Y2" s="286">
        <v>2002</v>
      </c>
      <c r="Z2" s="258" t="s">
        <v>179</v>
      </c>
      <c r="AA2" s="259">
        <v>2008</v>
      </c>
      <c r="AB2" s="258">
        <v>2007</v>
      </c>
      <c r="AC2" s="258">
        <v>2006</v>
      </c>
      <c r="AD2" s="259">
        <v>2005</v>
      </c>
      <c r="AE2" s="259">
        <v>2004</v>
      </c>
      <c r="AF2" s="259">
        <v>2003</v>
      </c>
      <c r="AG2" s="287">
        <v>2002</v>
      </c>
      <c r="AH2" s="1220" t="s">
        <v>179</v>
      </c>
      <c r="AI2" s="289">
        <v>2008</v>
      </c>
      <c r="AJ2" s="288">
        <v>2007</v>
      </c>
      <c r="AK2" s="288">
        <v>2006</v>
      </c>
      <c r="AL2" s="289">
        <v>2005</v>
      </c>
      <c r="AM2" s="289">
        <v>2004</v>
      </c>
      <c r="AN2" s="289">
        <v>2003</v>
      </c>
      <c r="AO2" s="290">
        <v>2002</v>
      </c>
    </row>
    <row r="3" spans="1:41" s="827" customFormat="1" ht="13.5" thickBot="1">
      <c r="A3" s="309"/>
      <c r="B3" s="1890" t="s">
        <v>100</v>
      </c>
      <c r="C3" s="1896"/>
      <c r="D3" s="1896"/>
      <c r="E3" s="1896"/>
      <c r="F3" s="1896"/>
      <c r="G3" s="1896"/>
      <c r="H3" s="1896"/>
      <c r="I3" s="1879"/>
      <c r="J3" s="1890" t="s">
        <v>69</v>
      </c>
      <c r="K3" s="1896"/>
      <c r="L3" s="1896"/>
      <c r="M3" s="1896"/>
      <c r="N3" s="1896"/>
      <c r="O3" s="1896"/>
      <c r="P3" s="1896"/>
      <c r="Q3" s="1879"/>
      <c r="R3" s="1884" t="s">
        <v>71</v>
      </c>
      <c r="S3" s="1884"/>
      <c r="T3" s="1884"/>
      <c r="U3" s="1884"/>
      <c r="V3" s="1872"/>
      <c r="W3" s="1872"/>
      <c r="X3" s="1872"/>
      <c r="Y3" s="1873"/>
      <c r="Z3" s="1890" t="s">
        <v>49</v>
      </c>
      <c r="AA3" s="1896"/>
      <c r="AB3" s="1896"/>
      <c r="AC3" s="1896"/>
      <c r="AD3" s="1896"/>
      <c r="AE3" s="1896"/>
      <c r="AF3" s="1896"/>
      <c r="AG3" s="1896"/>
      <c r="AH3" s="1890" t="s">
        <v>116</v>
      </c>
      <c r="AI3" s="1896"/>
      <c r="AJ3" s="1896"/>
      <c r="AK3" s="1896"/>
      <c r="AL3" s="1896"/>
      <c r="AM3" s="1896"/>
      <c r="AN3" s="1896"/>
      <c r="AO3" s="1879"/>
    </row>
    <row r="4" spans="1:41" s="826" customFormat="1" ht="12.75">
      <c r="A4" s="696" t="s">
        <v>13</v>
      </c>
      <c r="B4" s="209">
        <f aca="true" t="shared" si="0" ref="B4:B10">SUM(C4-D4)/D4</f>
        <v>-0.24102057577823474</v>
      </c>
      <c r="C4" s="680">
        <v>7069.4</v>
      </c>
      <c r="D4" s="680">
        <v>9314.35</v>
      </c>
      <c r="E4" s="753">
        <v>16977</v>
      </c>
      <c r="F4" s="753">
        <v>12758</v>
      </c>
      <c r="G4" s="753">
        <v>9195</v>
      </c>
      <c r="H4" s="753">
        <v>8008</v>
      </c>
      <c r="I4" s="946">
        <v>8103</v>
      </c>
      <c r="J4" s="141">
        <f aca="true" t="shared" si="1" ref="J4:J10">SUM(K4-L4)/L4</f>
        <v>0.18362864175169263</v>
      </c>
      <c r="K4" s="755">
        <v>32412.25</v>
      </c>
      <c r="L4" s="755">
        <v>27383.8</v>
      </c>
      <c r="M4" s="537">
        <v>47853</v>
      </c>
      <c r="N4" s="537">
        <v>40475</v>
      </c>
      <c r="O4" s="537">
        <v>28633</v>
      </c>
      <c r="P4" s="537">
        <v>24185</v>
      </c>
      <c r="Q4" s="805">
        <v>30968</v>
      </c>
      <c r="R4" s="1229">
        <f aca="true" t="shared" si="2" ref="R4:R9">SUM(S4-T4)/T4</f>
        <v>0.07584851007475854</v>
      </c>
      <c r="S4" s="179">
        <f aca="true" t="shared" si="3" ref="S4:S9">+C4+K4</f>
        <v>39481.65</v>
      </c>
      <c r="T4" s="179">
        <f aca="true" t="shared" si="4" ref="T4:U15">+D4+L4</f>
        <v>36698.15</v>
      </c>
      <c r="U4" s="179">
        <f t="shared" si="4"/>
        <v>64830</v>
      </c>
      <c r="V4" s="179">
        <f aca="true" t="shared" si="5" ref="V4:V15">+F4+N4</f>
        <v>53233</v>
      </c>
      <c r="W4" s="179">
        <f aca="true" t="shared" si="6" ref="W4:W15">+G4+O4</f>
        <v>37828</v>
      </c>
      <c r="X4" s="179">
        <f aca="true" t="shared" si="7" ref="X4:X15">+H4+P4</f>
        <v>32193</v>
      </c>
      <c r="Y4" s="722">
        <f aca="true" t="shared" si="8" ref="Y4:Y15">+I4+Q4</f>
        <v>39071</v>
      </c>
      <c r="Z4" s="143">
        <f aca="true" t="shared" si="9" ref="Z4:Z10">SUM(AA4-AB4)/AB4</f>
        <v>0.023481772249634457</v>
      </c>
      <c r="AA4" s="550">
        <v>18160.2</v>
      </c>
      <c r="AB4" s="1412">
        <v>17743.55</v>
      </c>
      <c r="AC4" s="215">
        <v>27334</v>
      </c>
      <c r="AD4" s="215">
        <v>23234</v>
      </c>
      <c r="AE4" s="215">
        <v>17296</v>
      </c>
      <c r="AF4" s="215">
        <v>16820</v>
      </c>
      <c r="AG4" s="216">
        <v>17722</v>
      </c>
      <c r="AH4" s="1232">
        <f aca="true" t="shared" si="10" ref="AH4:AH9">SUM(AI4-AJ4)/AJ4</f>
        <v>0.058781228359878715</v>
      </c>
      <c r="AI4" s="197">
        <f aca="true" t="shared" si="11" ref="AI4:AJ11">+S4+AA4</f>
        <v>57641.850000000006</v>
      </c>
      <c r="AJ4" s="197">
        <f t="shared" si="11"/>
        <v>54441.7</v>
      </c>
      <c r="AK4" s="197">
        <f aca="true" t="shared" si="12" ref="AK4:AK15">+U4+AC4</f>
        <v>92164</v>
      </c>
      <c r="AL4" s="197">
        <f aca="true" t="shared" si="13" ref="AL4:AL15">+V4+AD4</f>
        <v>76467</v>
      </c>
      <c r="AM4" s="197">
        <f aca="true" t="shared" si="14" ref="AM4:AM15">+W4+AE4</f>
        <v>55124</v>
      </c>
      <c r="AN4" s="197">
        <f aca="true" t="shared" si="15" ref="AN4:AN15">+X4+AF4</f>
        <v>49013</v>
      </c>
      <c r="AO4" s="198">
        <f aca="true" t="shared" si="16" ref="AO4:AO15">+Y4+AG4</f>
        <v>56793</v>
      </c>
    </row>
    <row r="5" spans="1:41" s="826" customFormat="1" ht="12.75">
      <c r="A5" s="539" t="s">
        <v>14</v>
      </c>
      <c r="B5" s="218">
        <f t="shared" si="0"/>
        <v>-0.06720020079933585</v>
      </c>
      <c r="C5" s="743">
        <v>9662.5</v>
      </c>
      <c r="D5" s="265">
        <v>10358.6</v>
      </c>
      <c r="E5" s="737">
        <v>12193</v>
      </c>
      <c r="F5" s="737">
        <v>11187</v>
      </c>
      <c r="G5" s="737">
        <v>10826</v>
      </c>
      <c r="H5" s="737">
        <v>11084</v>
      </c>
      <c r="I5" s="828">
        <v>8252</v>
      </c>
      <c r="J5" s="119">
        <f t="shared" si="1"/>
        <v>0.20331479233136623</v>
      </c>
      <c r="K5" s="933">
        <v>31963.35</v>
      </c>
      <c r="L5" s="353">
        <v>26562.75</v>
      </c>
      <c r="M5" s="541">
        <v>26455</v>
      </c>
      <c r="N5" s="541">
        <v>31389</v>
      </c>
      <c r="O5" s="541">
        <v>28209</v>
      </c>
      <c r="P5" s="541">
        <v>31126</v>
      </c>
      <c r="Q5" s="807">
        <v>26080</v>
      </c>
      <c r="R5" s="1230">
        <f t="shared" si="2"/>
        <v>0.12741950118291992</v>
      </c>
      <c r="S5" s="180">
        <f t="shared" si="3"/>
        <v>41625.85</v>
      </c>
      <c r="T5" s="180">
        <f t="shared" si="4"/>
        <v>36921.35</v>
      </c>
      <c r="U5" s="180">
        <f t="shared" si="4"/>
        <v>38648</v>
      </c>
      <c r="V5" s="180">
        <f t="shared" si="5"/>
        <v>42576</v>
      </c>
      <c r="W5" s="180">
        <f t="shared" si="6"/>
        <v>39035</v>
      </c>
      <c r="X5" s="180">
        <f t="shared" si="7"/>
        <v>42210</v>
      </c>
      <c r="Y5" s="181">
        <f t="shared" si="8"/>
        <v>34332</v>
      </c>
      <c r="Z5" s="132">
        <f t="shared" si="9"/>
        <v>0.015068104940095257</v>
      </c>
      <c r="AA5" s="682">
        <v>16834.6</v>
      </c>
      <c r="AB5" s="678">
        <v>16584.7</v>
      </c>
      <c r="AC5" s="222">
        <v>14773</v>
      </c>
      <c r="AD5" s="222">
        <v>18091</v>
      </c>
      <c r="AE5" s="222">
        <v>16209</v>
      </c>
      <c r="AF5" s="222">
        <v>18768</v>
      </c>
      <c r="AG5" s="199">
        <v>16918</v>
      </c>
      <c r="AH5" s="1233">
        <f t="shared" si="10"/>
        <v>0.09259513643784197</v>
      </c>
      <c r="AI5" s="121">
        <f t="shared" si="11"/>
        <v>58460.45</v>
      </c>
      <c r="AJ5" s="121">
        <f t="shared" si="11"/>
        <v>53506.05</v>
      </c>
      <c r="AK5" s="121">
        <f t="shared" si="12"/>
        <v>53421</v>
      </c>
      <c r="AL5" s="121">
        <f t="shared" si="13"/>
        <v>60667</v>
      </c>
      <c r="AM5" s="121">
        <f t="shared" si="14"/>
        <v>55244</v>
      </c>
      <c r="AN5" s="121">
        <f t="shared" si="15"/>
        <v>60978</v>
      </c>
      <c r="AO5" s="122">
        <f t="shared" si="16"/>
        <v>51250</v>
      </c>
    </row>
    <row r="6" spans="1:41" s="826" customFormat="1" ht="12.75">
      <c r="A6" s="539" t="s">
        <v>15</v>
      </c>
      <c r="B6" s="218">
        <f t="shared" si="0"/>
        <v>-0.23370843549315434</v>
      </c>
      <c r="C6" s="265">
        <v>8454.15</v>
      </c>
      <c r="D6" s="265">
        <f>10693.55+339</f>
        <v>11032.55</v>
      </c>
      <c r="E6" s="737">
        <v>13618</v>
      </c>
      <c r="F6" s="737">
        <v>11313</v>
      </c>
      <c r="G6" s="737">
        <v>11971</v>
      </c>
      <c r="H6" s="737">
        <v>10393</v>
      </c>
      <c r="I6" s="828">
        <v>9638</v>
      </c>
      <c r="J6" s="119">
        <f t="shared" si="1"/>
        <v>-0.056177449908621335</v>
      </c>
      <c r="K6" s="38">
        <v>28274.8</v>
      </c>
      <c r="L6" s="353">
        <v>29957.75</v>
      </c>
      <c r="M6" s="541">
        <v>31942</v>
      </c>
      <c r="N6" s="541">
        <v>34695</v>
      </c>
      <c r="O6" s="541">
        <v>30791</v>
      </c>
      <c r="P6" s="541">
        <v>32667</v>
      </c>
      <c r="Q6" s="807">
        <v>29047</v>
      </c>
      <c r="R6" s="1230">
        <f t="shared" si="2"/>
        <v>-0.10395996125912729</v>
      </c>
      <c r="S6" s="180">
        <f t="shared" si="3"/>
        <v>36728.95</v>
      </c>
      <c r="T6" s="180">
        <f t="shared" si="4"/>
        <v>40990.3</v>
      </c>
      <c r="U6" s="180">
        <f t="shared" si="4"/>
        <v>45560</v>
      </c>
      <c r="V6" s="180">
        <f t="shared" si="5"/>
        <v>46008</v>
      </c>
      <c r="W6" s="180">
        <f t="shared" si="6"/>
        <v>42762</v>
      </c>
      <c r="X6" s="180">
        <f t="shared" si="7"/>
        <v>43060</v>
      </c>
      <c r="Y6" s="181">
        <f t="shared" si="8"/>
        <v>38685</v>
      </c>
      <c r="Z6" s="132">
        <f t="shared" si="9"/>
        <v>-0.21560885781613326</v>
      </c>
      <c r="AA6" s="274">
        <v>15078.9</v>
      </c>
      <c r="AB6" s="678">
        <v>19223.7</v>
      </c>
      <c r="AC6" s="222">
        <v>18448</v>
      </c>
      <c r="AD6" s="222">
        <v>18479</v>
      </c>
      <c r="AE6" s="222">
        <v>18022</v>
      </c>
      <c r="AF6" s="222">
        <v>17636</v>
      </c>
      <c r="AG6" s="199">
        <v>15297</v>
      </c>
      <c r="AH6" s="1233">
        <f t="shared" si="10"/>
        <v>-0.1396045770086691</v>
      </c>
      <c r="AI6" s="121">
        <f>+S6+AA6</f>
        <v>51807.85</v>
      </c>
      <c r="AJ6" s="121">
        <f t="shared" si="11"/>
        <v>60214</v>
      </c>
      <c r="AK6" s="121">
        <f t="shared" si="12"/>
        <v>64008</v>
      </c>
      <c r="AL6" s="121">
        <f t="shared" si="13"/>
        <v>64487</v>
      </c>
      <c r="AM6" s="121">
        <f t="shared" si="14"/>
        <v>60784</v>
      </c>
      <c r="AN6" s="121">
        <f t="shared" si="15"/>
        <v>60696</v>
      </c>
      <c r="AO6" s="122">
        <f t="shared" si="16"/>
        <v>53982</v>
      </c>
    </row>
    <row r="7" spans="1:41" s="826" customFormat="1" ht="12.75">
      <c r="A7" s="539" t="s">
        <v>16</v>
      </c>
      <c r="B7" s="218">
        <f t="shared" si="0"/>
        <v>-0.09780259266425279</v>
      </c>
      <c r="C7" s="743">
        <v>8160.15</v>
      </c>
      <c r="D7" s="223">
        <v>9044.75</v>
      </c>
      <c r="E7" s="223">
        <v>10003</v>
      </c>
      <c r="F7" s="223">
        <v>10743</v>
      </c>
      <c r="G7" s="223">
        <v>10302</v>
      </c>
      <c r="H7" s="223">
        <v>12382</v>
      </c>
      <c r="I7" s="1227">
        <v>9654</v>
      </c>
      <c r="J7" s="119">
        <f t="shared" si="1"/>
        <v>0.11034358716828191</v>
      </c>
      <c r="K7" s="933">
        <v>31175.45</v>
      </c>
      <c r="L7" s="123">
        <v>28077.3</v>
      </c>
      <c r="M7" s="123">
        <v>25006</v>
      </c>
      <c r="N7" s="123">
        <v>31426</v>
      </c>
      <c r="O7" s="123">
        <v>31417</v>
      </c>
      <c r="P7" s="123">
        <v>30428</v>
      </c>
      <c r="Q7" s="795">
        <v>27204</v>
      </c>
      <c r="R7" s="1230">
        <f t="shared" si="2"/>
        <v>0.05962898061933529</v>
      </c>
      <c r="S7" s="180">
        <f t="shared" si="3"/>
        <v>39335.6</v>
      </c>
      <c r="T7" s="180">
        <f t="shared" si="4"/>
        <v>37122.05</v>
      </c>
      <c r="U7" s="180">
        <f t="shared" si="4"/>
        <v>35009</v>
      </c>
      <c r="V7" s="180">
        <f t="shared" si="5"/>
        <v>42169</v>
      </c>
      <c r="W7" s="180">
        <f t="shared" si="6"/>
        <v>41719</v>
      </c>
      <c r="X7" s="180">
        <f t="shared" si="7"/>
        <v>42810</v>
      </c>
      <c r="Y7" s="181">
        <f t="shared" si="8"/>
        <v>36858</v>
      </c>
      <c r="Z7" s="132">
        <f t="shared" si="9"/>
        <v>-0.09150875270087826</v>
      </c>
      <c r="AA7" s="682">
        <v>15914.45</v>
      </c>
      <c r="AB7" s="222">
        <v>17517.45</v>
      </c>
      <c r="AC7" s="222">
        <v>15003.9</v>
      </c>
      <c r="AD7" s="222">
        <v>17482</v>
      </c>
      <c r="AE7" s="222">
        <v>19490</v>
      </c>
      <c r="AF7" s="222">
        <v>16056</v>
      </c>
      <c r="AG7" s="199">
        <v>20437</v>
      </c>
      <c r="AH7" s="1233">
        <f t="shared" si="10"/>
        <v>0.011174150568727805</v>
      </c>
      <c r="AI7" s="121">
        <f>+S7+AA7</f>
        <v>55250.05</v>
      </c>
      <c r="AJ7" s="121">
        <f t="shared" si="11"/>
        <v>54639.5</v>
      </c>
      <c r="AK7" s="121">
        <f t="shared" si="12"/>
        <v>50012.9</v>
      </c>
      <c r="AL7" s="121">
        <f t="shared" si="13"/>
        <v>59651</v>
      </c>
      <c r="AM7" s="121">
        <f t="shared" si="14"/>
        <v>61209</v>
      </c>
      <c r="AN7" s="121">
        <f t="shared" si="15"/>
        <v>58866</v>
      </c>
      <c r="AO7" s="122">
        <f t="shared" si="16"/>
        <v>57295</v>
      </c>
    </row>
    <row r="8" spans="1:41" s="826" customFormat="1" ht="12.75">
      <c r="A8" s="539" t="s">
        <v>17</v>
      </c>
      <c r="B8" s="218">
        <f t="shared" si="0"/>
        <v>0.10886963240975825</v>
      </c>
      <c r="C8" s="352">
        <v>10045.25</v>
      </c>
      <c r="D8" s="223">
        <v>9059</v>
      </c>
      <c r="E8" s="223">
        <v>16385</v>
      </c>
      <c r="F8" s="223">
        <v>11807</v>
      </c>
      <c r="G8" s="223">
        <v>10970</v>
      </c>
      <c r="H8" s="223">
        <v>10137</v>
      </c>
      <c r="I8" s="1227">
        <v>9460</v>
      </c>
      <c r="J8" s="119">
        <f t="shared" si="1"/>
        <v>-0.06066555097837281</v>
      </c>
      <c r="K8" s="353">
        <v>29187</v>
      </c>
      <c r="L8" s="123">
        <v>31072</v>
      </c>
      <c r="M8" s="123">
        <v>32116</v>
      </c>
      <c r="N8" s="123">
        <v>31024</v>
      </c>
      <c r="O8" s="123">
        <v>30996</v>
      </c>
      <c r="P8" s="123">
        <v>29725</v>
      </c>
      <c r="Q8" s="795">
        <v>27353</v>
      </c>
      <c r="R8" s="1230">
        <f t="shared" si="2"/>
        <v>-0.022395405048466273</v>
      </c>
      <c r="S8" s="180">
        <f t="shared" si="3"/>
        <v>39232.25</v>
      </c>
      <c r="T8" s="180">
        <f t="shared" si="4"/>
        <v>40131</v>
      </c>
      <c r="U8" s="180">
        <f t="shared" si="4"/>
        <v>48501</v>
      </c>
      <c r="V8" s="180">
        <f t="shared" si="5"/>
        <v>42831</v>
      </c>
      <c r="W8" s="180">
        <f t="shared" si="6"/>
        <v>41966</v>
      </c>
      <c r="X8" s="180">
        <f t="shared" si="7"/>
        <v>39862</v>
      </c>
      <c r="Y8" s="181">
        <f t="shared" si="8"/>
        <v>36813</v>
      </c>
      <c r="Z8" s="132">
        <f t="shared" si="9"/>
        <v>-0.08633324827762189</v>
      </c>
      <c r="AA8" s="329">
        <v>17903.3</v>
      </c>
      <c r="AB8" s="222">
        <v>19595</v>
      </c>
      <c r="AC8" s="222">
        <v>17040.92</v>
      </c>
      <c r="AD8" s="222">
        <v>17576</v>
      </c>
      <c r="AE8" s="222">
        <v>18396</v>
      </c>
      <c r="AF8" s="222">
        <v>19324</v>
      </c>
      <c r="AG8" s="199">
        <v>13985</v>
      </c>
      <c r="AH8" s="1233">
        <f t="shared" si="10"/>
        <v>-0.04337223319827206</v>
      </c>
      <c r="AI8" s="121">
        <f>+S8+AA8</f>
        <v>57135.55</v>
      </c>
      <c r="AJ8" s="121">
        <f t="shared" si="11"/>
        <v>59726</v>
      </c>
      <c r="AK8" s="121">
        <f t="shared" si="12"/>
        <v>65541.92</v>
      </c>
      <c r="AL8" s="121">
        <f t="shared" si="13"/>
        <v>60407</v>
      </c>
      <c r="AM8" s="121">
        <f t="shared" si="14"/>
        <v>60362</v>
      </c>
      <c r="AN8" s="121">
        <f t="shared" si="15"/>
        <v>59186</v>
      </c>
      <c r="AO8" s="122">
        <f t="shared" si="16"/>
        <v>50798</v>
      </c>
    </row>
    <row r="9" spans="1:41" s="826" customFormat="1" ht="12.75">
      <c r="A9" s="539" t="s">
        <v>18</v>
      </c>
      <c r="B9" s="218">
        <f t="shared" si="0"/>
        <v>0.21572797136540697</v>
      </c>
      <c r="C9" s="352">
        <v>11548.2</v>
      </c>
      <c r="D9" s="265">
        <v>9499</v>
      </c>
      <c r="E9" s="223">
        <v>13043</v>
      </c>
      <c r="F9" s="223">
        <v>10137</v>
      </c>
      <c r="G9" s="223">
        <v>10981</v>
      </c>
      <c r="H9" s="223">
        <v>11714</v>
      </c>
      <c r="I9" s="1227">
        <v>10963</v>
      </c>
      <c r="J9" s="119">
        <f t="shared" si="1"/>
        <v>0.102388424564765</v>
      </c>
      <c r="K9" s="353">
        <v>33370.4</v>
      </c>
      <c r="L9" s="38">
        <v>30271</v>
      </c>
      <c r="M9" s="123">
        <v>31677</v>
      </c>
      <c r="N9" s="123">
        <v>30980</v>
      </c>
      <c r="O9" s="123">
        <v>31545</v>
      </c>
      <c r="P9" s="123">
        <v>28817</v>
      </c>
      <c r="Q9" s="795">
        <v>28330</v>
      </c>
      <c r="R9" s="1230">
        <f t="shared" si="2"/>
        <v>0.12945939150113164</v>
      </c>
      <c r="S9" s="180">
        <f t="shared" si="3"/>
        <v>44918.600000000006</v>
      </c>
      <c r="T9" s="180">
        <f t="shared" si="4"/>
        <v>39770</v>
      </c>
      <c r="U9" s="180">
        <f t="shared" si="4"/>
        <v>44720</v>
      </c>
      <c r="V9" s="180">
        <f t="shared" si="5"/>
        <v>41117</v>
      </c>
      <c r="W9" s="180">
        <f t="shared" si="6"/>
        <v>42526</v>
      </c>
      <c r="X9" s="180">
        <f t="shared" si="7"/>
        <v>40531</v>
      </c>
      <c r="Y9" s="181">
        <f t="shared" si="8"/>
        <v>39293</v>
      </c>
      <c r="Z9" s="132">
        <f t="shared" si="9"/>
        <v>0.1347539964977687</v>
      </c>
      <c r="AA9" s="329">
        <v>20088.55</v>
      </c>
      <c r="AB9" s="274">
        <v>17703</v>
      </c>
      <c r="AC9" s="222">
        <v>17391.08</v>
      </c>
      <c r="AD9" s="222">
        <v>18356</v>
      </c>
      <c r="AE9" s="222">
        <v>14852</v>
      </c>
      <c r="AF9" s="222">
        <v>14727</v>
      </c>
      <c r="AG9" s="199">
        <v>17848</v>
      </c>
      <c r="AH9" s="1233">
        <f t="shared" si="10"/>
        <v>0.1310902510744177</v>
      </c>
      <c r="AI9" s="121">
        <f>+S9+AA9</f>
        <v>65007.15000000001</v>
      </c>
      <c r="AJ9" s="121">
        <f t="shared" si="11"/>
        <v>57473</v>
      </c>
      <c r="AK9" s="121">
        <f t="shared" si="12"/>
        <v>62111.08</v>
      </c>
      <c r="AL9" s="121">
        <f t="shared" si="13"/>
        <v>59473</v>
      </c>
      <c r="AM9" s="121">
        <f t="shared" si="14"/>
        <v>57378</v>
      </c>
      <c r="AN9" s="121">
        <f t="shared" si="15"/>
        <v>55258</v>
      </c>
      <c r="AO9" s="122">
        <f t="shared" si="16"/>
        <v>57141</v>
      </c>
    </row>
    <row r="10" spans="1:41" s="826" customFormat="1" ht="12.75">
      <c r="A10" s="539" t="s">
        <v>19</v>
      </c>
      <c r="B10" s="218">
        <f t="shared" si="0"/>
        <v>0.03756949543690335</v>
      </c>
      <c r="C10" s="1712">
        <v>9891.15</v>
      </c>
      <c r="D10" s="223">
        <v>9533</v>
      </c>
      <c r="E10" s="830">
        <v>11002</v>
      </c>
      <c r="F10" s="223">
        <v>10559</v>
      </c>
      <c r="G10" s="223">
        <v>10624</v>
      </c>
      <c r="H10" s="223">
        <v>10014</v>
      </c>
      <c r="I10" s="1227">
        <v>9855</v>
      </c>
      <c r="J10" s="119">
        <f t="shared" si="1"/>
        <v>0.04335832239342221</v>
      </c>
      <c r="K10" s="1713">
        <v>30201.05</v>
      </c>
      <c r="L10" s="831">
        <v>28946</v>
      </c>
      <c r="M10" s="831">
        <v>27526</v>
      </c>
      <c r="N10" s="123">
        <v>32429</v>
      </c>
      <c r="O10" s="123">
        <v>31627</v>
      </c>
      <c r="P10" s="123">
        <v>29984</v>
      </c>
      <c r="Q10" s="795">
        <v>25856</v>
      </c>
      <c r="R10" s="1230">
        <f>SUM(S10-T10)/T10</f>
        <v>0.04192416642844141</v>
      </c>
      <c r="S10" s="180">
        <f>+C10+K10</f>
        <v>40092.2</v>
      </c>
      <c r="T10" s="180">
        <f t="shared" si="4"/>
        <v>38479</v>
      </c>
      <c r="U10" s="180">
        <f t="shared" si="4"/>
        <v>38528</v>
      </c>
      <c r="V10" s="180">
        <f t="shared" si="5"/>
        <v>42988</v>
      </c>
      <c r="W10" s="180">
        <f t="shared" si="6"/>
        <v>42251</v>
      </c>
      <c r="X10" s="180">
        <f t="shared" si="7"/>
        <v>39998</v>
      </c>
      <c r="Y10" s="181">
        <f t="shared" si="8"/>
        <v>35711</v>
      </c>
      <c r="Z10" s="132">
        <f t="shared" si="9"/>
        <v>0.12368571265483182</v>
      </c>
      <c r="AA10" s="1714">
        <v>19685.85</v>
      </c>
      <c r="AB10" s="281">
        <v>17519</v>
      </c>
      <c r="AC10" s="281">
        <v>16432</v>
      </c>
      <c r="AD10" s="222">
        <v>18273</v>
      </c>
      <c r="AE10" s="222">
        <v>17113</v>
      </c>
      <c r="AF10" s="222">
        <v>17090</v>
      </c>
      <c r="AG10" s="199">
        <v>13953</v>
      </c>
      <c r="AH10" s="1233">
        <f>SUM(AI10-AJ10)/AJ10</f>
        <v>0.0675033036894174</v>
      </c>
      <c r="AI10" s="121">
        <f>+S10+AA10</f>
        <v>59778.049999999996</v>
      </c>
      <c r="AJ10" s="121">
        <f t="shared" si="11"/>
        <v>55998</v>
      </c>
      <c r="AK10" s="121">
        <f t="shared" si="12"/>
        <v>54960</v>
      </c>
      <c r="AL10" s="121">
        <f t="shared" si="13"/>
        <v>61261</v>
      </c>
      <c r="AM10" s="121">
        <f t="shared" si="14"/>
        <v>59364</v>
      </c>
      <c r="AN10" s="121">
        <f t="shared" si="15"/>
        <v>57088</v>
      </c>
      <c r="AO10" s="122">
        <f t="shared" si="16"/>
        <v>49664</v>
      </c>
    </row>
    <row r="11" spans="1:41" s="826" customFormat="1" ht="12.75">
      <c r="A11" s="539" t="s">
        <v>20</v>
      </c>
      <c r="B11" s="218"/>
      <c r="C11" s="223"/>
      <c r="D11" s="223">
        <v>10417</v>
      </c>
      <c r="E11" s="830">
        <v>9932</v>
      </c>
      <c r="F11" s="223">
        <v>12578</v>
      </c>
      <c r="G11" s="223">
        <v>11901</v>
      </c>
      <c r="H11" s="223">
        <v>12880</v>
      </c>
      <c r="I11" s="1227">
        <v>11109</v>
      </c>
      <c r="J11" s="119"/>
      <c r="K11" s="831"/>
      <c r="L11" s="831">
        <v>34663</v>
      </c>
      <c r="M11" s="831">
        <v>32768</v>
      </c>
      <c r="N11" s="123">
        <v>31383</v>
      </c>
      <c r="O11" s="123">
        <v>30866</v>
      </c>
      <c r="P11" s="123">
        <v>30542</v>
      </c>
      <c r="Q11" s="795">
        <v>30663</v>
      </c>
      <c r="R11" s="1230"/>
      <c r="S11" s="180"/>
      <c r="T11" s="180">
        <f t="shared" si="4"/>
        <v>45080</v>
      </c>
      <c r="U11" s="180">
        <f t="shared" si="4"/>
        <v>42700</v>
      </c>
      <c r="V11" s="180">
        <f t="shared" si="5"/>
        <v>43961</v>
      </c>
      <c r="W11" s="180">
        <f t="shared" si="6"/>
        <v>42767</v>
      </c>
      <c r="X11" s="180">
        <f t="shared" si="7"/>
        <v>43422</v>
      </c>
      <c r="Y11" s="181">
        <f t="shared" si="8"/>
        <v>41772</v>
      </c>
      <c r="Z11" s="132"/>
      <c r="AA11" s="281"/>
      <c r="AB11" s="281">
        <v>21535</v>
      </c>
      <c r="AC11" s="281">
        <v>21501</v>
      </c>
      <c r="AD11" s="222">
        <v>18591</v>
      </c>
      <c r="AE11" s="222">
        <v>18679</v>
      </c>
      <c r="AF11" s="222">
        <v>15937</v>
      </c>
      <c r="AG11" s="199">
        <v>17758</v>
      </c>
      <c r="AH11" s="1233"/>
      <c r="AI11" s="121"/>
      <c r="AJ11" s="121">
        <f t="shared" si="11"/>
        <v>66615</v>
      </c>
      <c r="AK11" s="121">
        <f t="shared" si="12"/>
        <v>64201</v>
      </c>
      <c r="AL11" s="121">
        <f t="shared" si="13"/>
        <v>62552</v>
      </c>
      <c r="AM11" s="121">
        <f t="shared" si="14"/>
        <v>61446</v>
      </c>
      <c r="AN11" s="121">
        <f t="shared" si="15"/>
        <v>59359</v>
      </c>
      <c r="AO11" s="122">
        <f t="shared" si="16"/>
        <v>59530</v>
      </c>
    </row>
    <row r="12" spans="1:41" s="826" customFormat="1" ht="12.75">
      <c r="A12" s="539" t="s">
        <v>21</v>
      </c>
      <c r="B12" s="218"/>
      <c r="C12" s="223"/>
      <c r="D12" s="223">
        <v>8119</v>
      </c>
      <c r="E12" s="265">
        <v>13486</v>
      </c>
      <c r="F12" s="223">
        <v>11305</v>
      </c>
      <c r="G12" s="223">
        <v>18306</v>
      </c>
      <c r="H12" s="223">
        <v>11200</v>
      </c>
      <c r="I12" s="1227">
        <v>10780</v>
      </c>
      <c r="J12" s="119"/>
      <c r="K12" s="38"/>
      <c r="L12" s="38">
        <v>28222</v>
      </c>
      <c r="M12" s="38">
        <v>32103</v>
      </c>
      <c r="N12" s="123">
        <v>31818</v>
      </c>
      <c r="O12" s="123">
        <v>36380</v>
      </c>
      <c r="P12" s="123">
        <v>30295</v>
      </c>
      <c r="Q12" s="795">
        <v>29124</v>
      </c>
      <c r="R12" s="1230"/>
      <c r="S12" s="180"/>
      <c r="T12" s="180">
        <f t="shared" si="4"/>
        <v>36341</v>
      </c>
      <c r="U12" s="180">
        <f t="shared" si="4"/>
        <v>45589</v>
      </c>
      <c r="V12" s="180">
        <f t="shared" si="5"/>
        <v>43123</v>
      </c>
      <c r="W12" s="180">
        <f t="shared" si="6"/>
        <v>54686</v>
      </c>
      <c r="X12" s="180">
        <f t="shared" si="7"/>
        <v>41495</v>
      </c>
      <c r="Y12" s="181">
        <f t="shared" si="8"/>
        <v>39904</v>
      </c>
      <c r="Z12" s="132"/>
      <c r="AA12" s="274"/>
      <c r="AB12" s="274">
        <v>18482</v>
      </c>
      <c r="AC12" s="274">
        <v>21953</v>
      </c>
      <c r="AD12" s="222">
        <v>19102</v>
      </c>
      <c r="AE12" s="222">
        <v>30592</v>
      </c>
      <c r="AF12" s="222">
        <v>18085</v>
      </c>
      <c r="AG12" s="199">
        <v>15218</v>
      </c>
      <c r="AH12" s="1233"/>
      <c r="AI12" s="121"/>
      <c r="AJ12" s="121">
        <f aca="true" t="shared" si="17" ref="AI12:AJ16">+T12+AB12</f>
        <v>54823</v>
      </c>
      <c r="AK12" s="121">
        <f t="shared" si="12"/>
        <v>67542</v>
      </c>
      <c r="AL12" s="121">
        <f t="shared" si="13"/>
        <v>62225</v>
      </c>
      <c r="AM12" s="121">
        <f t="shared" si="14"/>
        <v>85278</v>
      </c>
      <c r="AN12" s="121">
        <f t="shared" si="15"/>
        <v>59580</v>
      </c>
      <c r="AO12" s="122">
        <f t="shared" si="16"/>
        <v>55122</v>
      </c>
    </row>
    <row r="13" spans="1:41" s="826" customFormat="1" ht="12.75">
      <c r="A13" s="539" t="s">
        <v>22</v>
      </c>
      <c r="B13" s="218"/>
      <c r="C13" s="223"/>
      <c r="D13" s="223">
        <v>8800</v>
      </c>
      <c r="E13" s="830">
        <v>11213</v>
      </c>
      <c r="F13" s="223">
        <v>10247</v>
      </c>
      <c r="G13" s="223">
        <v>10159</v>
      </c>
      <c r="H13" s="223">
        <v>10950</v>
      </c>
      <c r="I13" s="1227">
        <v>11072</v>
      </c>
      <c r="J13" s="119"/>
      <c r="K13" s="831"/>
      <c r="L13" s="831">
        <v>29626</v>
      </c>
      <c r="M13" s="831">
        <v>30053</v>
      </c>
      <c r="N13" s="123">
        <v>30409</v>
      </c>
      <c r="O13" s="123">
        <v>36508</v>
      </c>
      <c r="P13" s="123">
        <v>31567</v>
      </c>
      <c r="Q13" s="795">
        <v>28713</v>
      </c>
      <c r="R13" s="1230"/>
      <c r="S13" s="180"/>
      <c r="T13" s="180">
        <f t="shared" si="4"/>
        <v>38426</v>
      </c>
      <c r="U13" s="180">
        <f t="shared" si="4"/>
        <v>41266</v>
      </c>
      <c r="V13" s="180">
        <f t="shared" si="5"/>
        <v>40656</v>
      </c>
      <c r="W13" s="180">
        <f t="shared" si="6"/>
        <v>46667</v>
      </c>
      <c r="X13" s="180">
        <f t="shared" si="7"/>
        <v>42517</v>
      </c>
      <c r="Y13" s="181">
        <f t="shared" si="8"/>
        <v>39785</v>
      </c>
      <c r="Z13" s="132"/>
      <c r="AA13" s="281"/>
      <c r="AB13" s="281">
        <v>19416</v>
      </c>
      <c r="AC13" s="281">
        <v>17850</v>
      </c>
      <c r="AD13" s="222">
        <f>17579</f>
        <v>17579</v>
      </c>
      <c r="AE13" s="222">
        <v>18251</v>
      </c>
      <c r="AF13" s="222">
        <v>17477</v>
      </c>
      <c r="AG13" s="199">
        <v>15145</v>
      </c>
      <c r="AH13" s="1233"/>
      <c r="AI13" s="121"/>
      <c r="AJ13" s="121">
        <f t="shared" si="17"/>
        <v>57842</v>
      </c>
      <c r="AK13" s="121">
        <f t="shared" si="12"/>
        <v>59116</v>
      </c>
      <c r="AL13" s="121">
        <f t="shared" si="13"/>
        <v>58235</v>
      </c>
      <c r="AM13" s="121">
        <f t="shared" si="14"/>
        <v>64918</v>
      </c>
      <c r="AN13" s="121">
        <f t="shared" si="15"/>
        <v>59994</v>
      </c>
      <c r="AO13" s="122">
        <f t="shared" si="16"/>
        <v>54930</v>
      </c>
    </row>
    <row r="14" spans="1:41" s="826" customFormat="1" ht="12.75">
      <c r="A14" s="539" t="s">
        <v>23</v>
      </c>
      <c r="B14" s="218"/>
      <c r="C14" s="223"/>
      <c r="D14" s="223">
        <v>8269</v>
      </c>
      <c r="E14" s="223">
        <v>10262</v>
      </c>
      <c r="F14" s="223">
        <v>14380</v>
      </c>
      <c r="G14" s="223">
        <v>11942</v>
      </c>
      <c r="H14" s="223">
        <v>10269</v>
      </c>
      <c r="I14" s="1227">
        <v>10089</v>
      </c>
      <c r="J14" s="119"/>
      <c r="K14" s="123"/>
      <c r="L14" s="123">
        <v>30487</v>
      </c>
      <c r="M14" s="123">
        <v>35423</v>
      </c>
      <c r="N14" s="123">
        <v>35091</v>
      </c>
      <c r="O14" s="123">
        <v>41046</v>
      </c>
      <c r="P14" s="123">
        <v>28760</v>
      </c>
      <c r="Q14" s="795">
        <v>31796</v>
      </c>
      <c r="R14" s="1230"/>
      <c r="S14" s="180"/>
      <c r="T14" s="180">
        <f t="shared" si="4"/>
        <v>38756</v>
      </c>
      <c r="U14" s="180">
        <f t="shared" si="4"/>
        <v>45685</v>
      </c>
      <c r="V14" s="180">
        <f t="shared" si="5"/>
        <v>49471</v>
      </c>
      <c r="W14" s="180">
        <f t="shared" si="6"/>
        <v>52988</v>
      </c>
      <c r="X14" s="180">
        <f t="shared" si="7"/>
        <v>39029</v>
      </c>
      <c r="Y14" s="181">
        <f t="shared" si="8"/>
        <v>41885</v>
      </c>
      <c r="Z14" s="132"/>
      <c r="AA14" s="222"/>
      <c r="AB14" s="222">
        <v>18844</v>
      </c>
      <c r="AC14" s="222">
        <v>24215</v>
      </c>
      <c r="AD14" s="222">
        <f>18872+72</f>
        <v>18944</v>
      </c>
      <c r="AE14" s="222">
        <v>21565</v>
      </c>
      <c r="AF14" s="222">
        <v>16377</v>
      </c>
      <c r="AG14" s="199">
        <v>17826</v>
      </c>
      <c r="AH14" s="1233"/>
      <c r="AI14" s="121"/>
      <c r="AJ14" s="121">
        <f t="shared" si="17"/>
        <v>57600</v>
      </c>
      <c r="AK14" s="121">
        <f t="shared" si="12"/>
        <v>69900</v>
      </c>
      <c r="AL14" s="121">
        <f t="shared" si="13"/>
        <v>68415</v>
      </c>
      <c r="AM14" s="121">
        <f t="shared" si="14"/>
        <v>74553</v>
      </c>
      <c r="AN14" s="121">
        <f t="shared" si="15"/>
        <v>55406</v>
      </c>
      <c r="AO14" s="122">
        <f t="shared" si="16"/>
        <v>59711</v>
      </c>
    </row>
    <row r="15" spans="1:41" s="826" customFormat="1" ht="13.5" thickBot="1">
      <c r="A15" s="539" t="s">
        <v>24</v>
      </c>
      <c r="B15" s="560"/>
      <c r="C15" s="1155"/>
      <c r="D15" s="1155">
        <v>8170.55</v>
      </c>
      <c r="E15" s="1226">
        <v>9699</v>
      </c>
      <c r="F15" s="1226">
        <f>14070-1000</f>
        <v>13070</v>
      </c>
      <c r="G15" s="1226">
        <v>10968</v>
      </c>
      <c r="H15" s="1226">
        <v>12147</v>
      </c>
      <c r="I15" s="1228">
        <v>11601</v>
      </c>
      <c r="J15" s="495"/>
      <c r="K15" s="882"/>
      <c r="L15" s="882">
        <v>25705</v>
      </c>
      <c r="M15" s="796">
        <v>29029</v>
      </c>
      <c r="N15" s="796">
        <f>35085</f>
        <v>35085</v>
      </c>
      <c r="O15" s="796">
        <v>36661</v>
      </c>
      <c r="P15" s="796">
        <v>28285</v>
      </c>
      <c r="Q15" s="797">
        <v>29798</v>
      </c>
      <c r="R15" s="1231"/>
      <c r="S15" s="398"/>
      <c r="T15" s="398">
        <f t="shared" si="4"/>
        <v>33875.55</v>
      </c>
      <c r="U15" s="398">
        <f t="shared" si="4"/>
        <v>38728</v>
      </c>
      <c r="V15" s="398">
        <f t="shared" si="5"/>
        <v>48155</v>
      </c>
      <c r="W15" s="398">
        <f t="shared" si="6"/>
        <v>47629</v>
      </c>
      <c r="X15" s="398">
        <f t="shared" si="7"/>
        <v>40432</v>
      </c>
      <c r="Y15" s="723">
        <f t="shared" si="8"/>
        <v>41399</v>
      </c>
      <c r="Z15" s="516"/>
      <c r="AA15" s="1249"/>
      <c r="AB15" s="1249">
        <v>16660.45</v>
      </c>
      <c r="AC15" s="133">
        <v>19364</v>
      </c>
      <c r="AD15" s="133">
        <v>19969</v>
      </c>
      <c r="AE15" s="133">
        <v>23028</v>
      </c>
      <c r="AF15" s="133">
        <v>15639</v>
      </c>
      <c r="AG15" s="1413">
        <v>16358</v>
      </c>
      <c r="AH15" s="1234"/>
      <c r="AI15" s="124"/>
      <c r="AJ15" s="124">
        <f t="shared" si="17"/>
        <v>50536</v>
      </c>
      <c r="AK15" s="124">
        <f t="shared" si="12"/>
        <v>58092</v>
      </c>
      <c r="AL15" s="124">
        <f t="shared" si="13"/>
        <v>68124</v>
      </c>
      <c r="AM15" s="124">
        <f t="shared" si="14"/>
        <v>70657</v>
      </c>
      <c r="AN15" s="124">
        <f t="shared" si="15"/>
        <v>56071</v>
      </c>
      <c r="AO15" s="125">
        <f t="shared" si="16"/>
        <v>57757</v>
      </c>
    </row>
    <row r="16" spans="1:41" s="827" customFormat="1" ht="12.75">
      <c r="A16" s="354" t="s">
        <v>25</v>
      </c>
      <c r="B16" s="588">
        <f>SUM(C16-D16)/D16</f>
        <v>-0.044374919389014646</v>
      </c>
      <c r="C16" s="707">
        <f>SUM(C4:C10)</f>
        <v>64830.80000000001</v>
      </c>
      <c r="D16" s="707">
        <f aca="true" t="shared" si="18" ref="D16:I16">SUM(D4:D10)</f>
        <v>67841.25</v>
      </c>
      <c r="E16" s="707">
        <f t="shared" si="18"/>
        <v>93221</v>
      </c>
      <c r="F16" s="707">
        <f t="shared" si="18"/>
        <v>78504</v>
      </c>
      <c r="G16" s="707">
        <f t="shared" si="18"/>
        <v>74869</v>
      </c>
      <c r="H16" s="707">
        <f t="shared" si="18"/>
        <v>73732</v>
      </c>
      <c r="I16" s="707">
        <f t="shared" si="18"/>
        <v>65925</v>
      </c>
      <c r="J16" s="588">
        <f>SUM(K16-L16)/L16</f>
        <v>0.0707651037768215</v>
      </c>
      <c r="K16" s="707">
        <f>SUM(K4:K10)</f>
        <v>216584.29999999996</v>
      </c>
      <c r="L16" s="707">
        <f aca="true" t="shared" si="19" ref="L16:Q16">SUM(L4:L10)</f>
        <v>202270.6</v>
      </c>
      <c r="M16" s="707">
        <f t="shared" si="19"/>
        <v>222575</v>
      </c>
      <c r="N16" s="707">
        <f t="shared" si="19"/>
        <v>232418</v>
      </c>
      <c r="O16" s="707">
        <f t="shared" si="19"/>
        <v>213218</v>
      </c>
      <c r="P16" s="707">
        <f t="shared" si="19"/>
        <v>206932</v>
      </c>
      <c r="Q16" s="707">
        <f t="shared" si="19"/>
        <v>194838</v>
      </c>
      <c r="R16" s="396">
        <f>SUM(S16-T16)/T16</f>
        <v>0.04184655356660584</v>
      </c>
      <c r="S16" s="399">
        <f aca="true" t="shared" si="20" ref="S16:Y16">+C16+K16</f>
        <v>281415.1</v>
      </c>
      <c r="T16" s="399">
        <f t="shared" si="20"/>
        <v>270111.85</v>
      </c>
      <c r="U16" s="399">
        <f t="shared" si="20"/>
        <v>315796</v>
      </c>
      <c r="V16" s="399">
        <f t="shared" si="20"/>
        <v>310922</v>
      </c>
      <c r="W16" s="399">
        <f t="shared" si="20"/>
        <v>288087</v>
      </c>
      <c r="X16" s="399">
        <f t="shared" si="20"/>
        <v>280664</v>
      </c>
      <c r="Y16" s="1221">
        <f t="shared" si="20"/>
        <v>260763</v>
      </c>
      <c r="Z16" s="588">
        <f>SUM(AA16-AB16)/AB16</f>
        <v>-0.01763931608180064</v>
      </c>
      <c r="AA16" s="707">
        <f>SUM(AA4:AA10)</f>
        <v>123665.85</v>
      </c>
      <c r="AB16" s="707">
        <f aca="true" t="shared" si="21" ref="AB16:AG16">SUM(AB4:AB10)</f>
        <v>125886.4</v>
      </c>
      <c r="AC16" s="707">
        <f t="shared" si="21"/>
        <v>126422.9</v>
      </c>
      <c r="AD16" s="707">
        <f t="shared" si="21"/>
        <v>131491</v>
      </c>
      <c r="AE16" s="707">
        <f t="shared" si="21"/>
        <v>121378</v>
      </c>
      <c r="AF16" s="707">
        <f t="shared" si="21"/>
        <v>120421</v>
      </c>
      <c r="AG16" s="707">
        <f t="shared" si="21"/>
        <v>116160</v>
      </c>
      <c r="AH16" s="396">
        <f>SUM(AI16-AJ16)/AJ16</f>
        <v>0.022936212470635802</v>
      </c>
      <c r="AI16" s="399">
        <f t="shared" si="17"/>
        <v>405080.94999999995</v>
      </c>
      <c r="AJ16" s="399">
        <f t="shared" si="17"/>
        <v>395998.25</v>
      </c>
      <c r="AK16" s="399">
        <f>+U16+AC16</f>
        <v>442218.9</v>
      </c>
      <c r="AL16" s="399">
        <f>+V16+AD16</f>
        <v>442413</v>
      </c>
      <c r="AM16" s="399">
        <f>+W16+AE16</f>
        <v>409465</v>
      </c>
      <c r="AN16" s="399">
        <f>+X16+AF16</f>
        <v>401085</v>
      </c>
      <c r="AO16" s="400">
        <f>+Y16+AG16</f>
        <v>376923</v>
      </c>
    </row>
    <row r="17" spans="1:41" s="827" customFormat="1" ht="13.5" thickBot="1">
      <c r="A17" s="355" t="s">
        <v>28</v>
      </c>
      <c r="B17" s="558">
        <f>SUM(C17-D17)/D17</f>
        <v>-0.004285069221530232</v>
      </c>
      <c r="C17" s="102">
        <f aca="true" t="shared" si="22" ref="C17:I17">AVERAGE(C4:C15)</f>
        <v>9261.542857142858</v>
      </c>
      <c r="D17" s="102">
        <f>AVERAGE(D4:D15)</f>
        <v>9301.4</v>
      </c>
      <c r="E17" s="102">
        <f t="shared" si="22"/>
        <v>12317.75</v>
      </c>
      <c r="F17" s="102">
        <f t="shared" si="22"/>
        <v>11673.666666666666</v>
      </c>
      <c r="G17" s="102">
        <f t="shared" si="22"/>
        <v>11512.083333333334</v>
      </c>
      <c r="H17" s="102">
        <f t="shared" si="22"/>
        <v>10931.5</v>
      </c>
      <c r="I17" s="312">
        <f t="shared" si="22"/>
        <v>10048</v>
      </c>
      <c r="J17" s="558">
        <f>SUM(K17-L17)/L17</f>
        <v>0.05787834591710423</v>
      </c>
      <c r="K17" s="102">
        <f aca="true" t="shared" si="23" ref="K17:Q17">AVERAGE(K4:K15)</f>
        <v>30940.61428571428</v>
      </c>
      <c r="L17" s="102">
        <f>AVERAGE(L4:L15)</f>
        <v>29247.8</v>
      </c>
      <c r="M17" s="102">
        <f t="shared" si="23"/>
        <v>31829.25</v>
      </c>
      <c r="N17" s="102">
        <f t="shared" si="23"/>
        <v>33017</v>
      </c>
      <c r="O17" s="102">
        <f t="shared" si="23"/>
        <v>32889.916666666664</v>
      </c>
      <c r="P17" s="102">
        <f t="shared" si="23"/>
        <v>29698.416666666668</v>
      </c>
      <c r="Q17" s="312">
        <f t="shared" si="23"/>
        <v>28744.333333333332</v>
      </c>
      <c r="R17" s="558">
        <f>SUM(S17-T17)/T17</f>
        <v>0.04287915554297219</v>
      </c>
      <c r="S17" s="102">
        <f aca="true" t="shared" si="24" ref="S17:Y17">AVERAGE(S4:S15)</f>
        <v>40202.15714285714</v>
      </c>
      <c r="T17" s="102">
        <f>AVERAGE(T4:T15)</f>
        <v>38549.2</v>
      </c>
      <c r="U17" s="102">
        <f t="shared" si="24"/>
        <v>44147</v>
      </c>
      <c r="V17" s="102">
        <f t="shared" si="24"/>
        <v>44690.666666666664</v>
      </c>
      <c r="W17" s="102">
        <f t="shared" si="24"/>
        <v>44402</v>
      </c>
      <c r="X17" s="102">
        <f t="shared" si="24"/>
        <v>40629.916666666664</v>
      </c>
      <c r="Y17" s="312">
        <f t="shared" si="24"/>
        <v>38792.333333333336</v>
      </c>
      <c r="Z17" s="558">
        <f>SUM(AA17-AB17)/AB17</f>
        <v>-0.03996511246407487</v>
      </c>
      <c r="AA17" s="102">
        <f aca="true" t="shared" si="25" ref="AA17:AG17">AVERAGE(AA4:AA15)</f>
        <v>17666.55</v>
      </c>
      <c r="AB17" s="102">
        <f>AVERAGE(AB4:AB15)</f>
        <v>18401.9875</v>
      </c>
      <c r="AC17" s="102">
        <f t="shared" si="25"/>
        <v>19275.491666666665</v>
      </c>
      <c r="AD17" s="102">
        <f t="shared" si="25"/>
        <v>18806.333333333332</v>
      </c>
      <c r="AE17" s="102">
        <f t="shared" si="25"/>
        <v>19457.75</v>
      </c>
      <c r="AF17" s="102">
        <f t="shared" si="25"/>
        <v>16994.666666666668</v>
      </c>
      <c r="AG17" s="312">
        <f t="shared" si="25"/>
        <v>16538.75</v>
      </c>
      <c r="AH17" s="558">
        <f>SUM(AI17-AJ17)/AJ17</f>
        <v>0.0161106323350526</v>
      </c>
      <c r="AI17" s="102">
        <f aca="true" t="shared" si="26" ref="AI17:AO17">AVERAGE(AI4:AI15)</f>
        <v>57868.70714285714</v>
      </c>
      <c r="AJ17" s="102">
        <f>AVERAGE(AJ4:AJ15)</f>
        <v>56951.1875</v>
      </c>
      <c r="AK17" s="102">
        <f t="shared" si="26"/>
        <v>63422.49166666667</v>
      </c>
      <c r="AL17" s="102">
        <f t="shared" si="26"/>
        <v>63497</v>
      </c>
      <c r="AM17" s="102">
        <f t="shared" si="26"/>
        <v>63859.75</v>
      </c>
      <c r="AN17" s="102">
        <f t="shared" si="26"/>
        <v>57624.583333333336</v>
      </c>
      <c r="AO17" s="312">
        <f t="shared" si="26"/>
        <v>55331.083333333336</v>
      </c>
    </row>
  </sheetData>
  <mergeCells count="7">
    <mergeCell ref="A1:A2"/>
    <mergeCell ref="AK1:AO1"/>
    <mergeCell ref="Z3:AG3"/>
    <mergeCell ref="B3:I3"/>
    <mergeCell ref="J3:Q3"/>
    <mergeCell ref="R3:Y3"/>
    <mergeCell ref="AH3:AO3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20"/>
  <sheetViews>
    <sheetView workbookViewId="0" topLeftCell="A1">
      <pane xSplit="1" ySplit="3" topLeftCell="Q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0" sqref="W10:X10"/>
    </sheetView>
  </sheetViews>
  <sheetFormatPr defaultColWidth="9.140625" defaultRowHeight="12.75"/>
  <cols>
    <col min="1" max="1" width="15.7109375" style="0" customWidth="1"/>
    <col min="2" max="2" width="5.28125" style="0" customWidth="1"/>
    <col min="3" max="3" width="6.8515625" style="0" customWidth="1"/>
    <col min="4" max="6" width="6.57421875" style="0" customWidth="1"/>
    <col min="7" max="7" width="6.140625" style="0" bestFit="1" customWidth="1"/>
    <col min="8" max="11" width="6.57421875" style="0" customWidth="1"/>
    <col min="12" max="12" width="6.140625" style="0" bestFit="1" customWidth="1"/>
    <col min="13" max="16" width="4.421875" style="0" customWidth="1"/>
    <col min="17" max="17" width="6.140625" style="0" bestFit="1" customWidth="1"/>
    <col min="18" max="19" width="6.57421875" style="0" bestFit="1" customWidth="1"/>
    <col min="20" max="20" width="5.7109375" style="0" customWidth="1"/>
    <col min="21" max="21" width="5.7109375" style="0" bestFit="1" customWidth="1"/>
    <col min="22" max="22" width="6.140625" style="0" bestFit="1" customWidth="1"/>
    <col min="23" max="26" width="6.57421875" style="0" customWidth="1"/>
    <col min="27" max="27" width="6.140625" style="0" bestFit="1" customWidth="1"/>
    <col min="28" max="31" width="6.57421875" style="0" bestFit="1" customWidth="1"/>
    <col min="32" max="32" width="6.140625" style="0" bestFit="1" customWidth="1"/>
    <col min="33" max="33" width="9.00390625" style="0" customWidth="1"/>
    <col min="34" max="36" width="7.421875" style="0" customWidth="1"/>
  </cols>
  <sheetData>
    <row r="1" spans="1:46" s="749" customFormat="1" ht="13.5" thickBot="1">
      <c r="A1" s="1901" t="s">
        <v>156</v>
      </c>
      <c r="B1" s="1903"/>
      <c r="C1" s="1904"/>
      <c r="D1" s="1904"/>
      <c r="E1" s="1905"/>
      <c r="F1" s="244"/>
      <c r="G1" s="271"/>
      <c r="H1" s="271"/>
      <c r="I1" s="271"/>
      <c r="J1" s="271"/>
      <c r="K1" s="271"/>
      <c r="L1" s="271"/>
      <c r="M1" s="271"/>
      <c r="N1" s="301"/>
      <c r="O1" s="301"/>
      <c r="P1" s="301"/>
      <c r="Q1" s="244"/>
      <c r="R1" s="386"/>
      <c r="S1" s="386"/>
      <c r="T1" s="386"/>
      <c r="U1" s="386"/>
      <c r="V1" s="271"/>
      <c r="W1" s="301"/>
      <c r="X1" s="301"/>
      <c r="Y1" s="301"/>
      <c r="Z1" s="301"/>
      <c r="AA1" s="271"/>
      <c r="AB1" s="271"/>
      <c r="AC1" s="1906"/>
      <c r="AD1" s="1907"/>
      <c r="AE1" s="1907"/>
      <c r="AF1" s="1907"/>
      <c r="AG1" s="1907"/>
      <c r="AH1" s="1907"/>
      <c r="AI1" s="1907"/>
      <c r="AJ1" s="1908"/>
      <c r="AK1" s="787"/>
      <c r="AL1" s="787"/>
      <c r="AM1" s="787"/>
      <c r="AN1" s="787"/>
      <c r="AO1" s="787"/>
      <c r="AP1" s="787"/>
      <c r="AQ1" s="787"/>
      <c r="AR1" s="787"/>
      <c r="AS1" s="787"/>
      <c r="AT1" s="787"/>
    </row>
    <row r="2" spans="1:46" s="749" customFormat="1" ht="34.5" thickBot="1">
      <c r="A2" s="1902"/>
      <c r="B2" s="554" t="s">
        <v>179</v>
      </c>
      <c r="C2" s="466">
        <v>2008</v>
      </c>
      <c r="D2" s="466">
        <v>2007</v>
      </c>
      <c r="E2" s="466">
        <v>2006</v>
      </c>
      <c r="F2" s="466">
        <v>2005</v>
      </c>
      <c r="G2" s="496" t="s">
        <v>179</v>
      </c>
      <c r="H2" s="112">
        <v>2008</v>
      </c>
      <c r="I2" s="112">
        <v>2007</v>
      </c>
      <c r="J2" s="112">
        <v>2006</v>
      </c>
      <c r="K2" s="112">
        <v>2005</v>
      </c>
      <c r="L2" s="1074" t="s">
        <v>179</v>
      </c>
      <c r="M2" s="619">
        <v>2008</v>
      </c>
      <c r="N2" s="619">
        <v>2007</v>
      </c>
      <c r="O2" s="619">
        <v>2006</v>
      </c>
      <c r="P2" s="619">
        <v>2005</v>
      </c>
      <c r="Q2" s="331" t="s">
        <v>179</v>
      </c>
      <c r="R2" s="177">
        <v>2008</v>
      </c>
      <c r="S2" s="177">
        <v>2007</v>
      </c>
      <c r="T2" s="177">
        <v>2006</v>
      </c>
      <c r="U2" s="177">
        <v>2005</v>
      </c>
      <c r="V2" s="460" t="s">
        <v>179</v>
      </c>
      <c r="W2" s="130">
        <v>2008</v>
      </c>
      <c r="X2" s="130">
        <v>2007</v>
      </c>
      <c r="Y2" s="130">
        <v>2006</v>
      </c>
      <c r="Z2" s="130">
        <v>2005</v>
      </c>
      <c r="AA2" s="501" t="s">
        <v>179</v>
      </c>
      <c r="AB2" s="114">
        <v>2008</v>
      </c>
      <c r="AC2" s="114">
        <v>2007</v>
      </c>
      <c r="AD2" s="114">
        <v>2006</v>
      </c>
      <c r="AE2" s="114">
        <v>2005</v>
      </c>
      <c r="AF2" s="568" t="s">
        <v>179</v>
      </c>
      <c r="AG2" s="569">
        <v>2008</v>
      </c>
      <c r="AH2" s="569">
        <v>2007</v>
      </c>
      <c r="AI2" s="569">
        <v>2006</v>
      </c>
      <c r="AJ2" s="570">
        <v>2005</v>
      </c>
      <c r="AK2" s="787"/>
      <c r="AL2" s="787"/>
      <c r="AM2" s="787"/>
      <c r="AN2" s="787"/>
      <c r="AO2" s="787"/>
      <c r="AP2" s="787"/>
      <c r="AQ2" s="787"/>
      <c r="AR2" s="787"/>
      <c r="AS2" s="787"/>
      <c r="AT2" s="787"/>
    </row>
    <row r="3" spans="1:46" s="789" customFormat="1" ht="13.5" thickBot="1">
      <c r="A3" s="309"/>
      <c r="B3" s="1891" t="s">
        <v>100</v>
      </c>
      <c r="C3" s="1892"/>
      <c r="D3" s="1892"/>
      <c r="E3" s="1892"/>
      <c r="F3" s="1892"/>
      <c r="G3" s="1896" t="s">
        <v>69</v>
      </c>
      <c r="H3" s="1896"/>
      <c r="I3" s="1896"/>
      <c r="J3" s="1896"/>
      <c r="K3" s="1896"/>
      <c r="L3" s="1890" t="s">
        <v>88</v>
      </c>
      <c r="M3" s="1896"/>
      <c r="N3" s="1896"/>
      <c r="O3" s="1896"/>
      <c r="P3" s="1896"/>
      <c r="Q3" s="1891" t="s">
        <v>71</v>
      </c>
      <c r="R3" s="1892"/>
      <c r="S3" s="1892"/>
      <c r="T3" s="1892"/>
      <c r="U3" s="1892"/>
      <c r="V3" s="1890" t="s">
        <v>49</v>
      </c>
      <c r="W3" s="1896"/>
      <c r="X3" s="1896"/>
      <c r="Y3" s="1896"/>
      <c r="Z3" s="1896"/>
      <c r="AA3" s="1890" t="s">
        <v>116</v>
      </c>
      <c r="AB3" s="1896"/>
      <c r="AC3" s="1896"/>
      <c r="AD3" s="1896"/>
      <c r="AE3" s="1896"/>
      <c r="AF3" s="1893" t="s">
        <v>143</v>
      </c>
      <c r="AG3" s="1884"/>
      <c r="AH3" s="1885"/>
      <c r="AI3" s="1885"/>
      <c r="AJ3" s="1886"/>
      <c r="AK3" s="788"/>
      <c r="AL3" s="788"/>
      <c r="AM3" s="788"/>
      <c r="AN3" s="788"/>
      <c r="AO3" s="788"/>
      <c r="AP3" s="788"/>
      <c r="AQ3" s="788"/>
      <c r="AR3" s="788"/>
      <c r="AS3" s="788"/>
      <c r="AT3" s="788"/>
    </row>
    <row r="4" spans="1:46" s="749" customFormat="1" ht="12.75">
      <c r="A4" s="696" t="s">
        <v>13</v>
      </c>
      <c r="B4" s="751">
        <f aca="true" t="shared" si="0" ref="B4:B10">SUM(C4-D4)/D4</f>
        <v>0.440914318573893</v>
      </c>
      <c r="C4" s="1098">
        <v>10023</v>
      </c>
      <c r="D4" s="752">
        <v>6956</v>
      </c>
      <c r="E4" s="752">
        <v>4222</v>
      </c>
      <c r="F4" s="946">
        <v>3381</v>
      </c>
      <c r="G4" s="754">
        <f aca="true" t="shared" si="1" ref="G4:G10">SUM(H4-I4)/I4</f>
        <v>0.35241779497098646</v>
      </c>
      <c r="H4" s="991">
        <v>3496</v>
      </c>
      <c r="I4" s="755">
        <v>2585</v>
      </c>
      <c r="J4" s="755">
        <v>2607</v>
      </c>
      <c r="K4" s="869">
        <v>1829</v>
      </c>
      <c r="L4" s="1091" t="e">
        <f>SUM(M4-N4)/N4</f>
        <v>#DIV/0!</v>
      </c>
      <c r="M4" s="620">
        <v>0</v>
      </c>
      <c r="N4" s="620">
        <v>0</v>
      </c>
      <c r="O4" s="620">
        <v>0</v>
      </c>
      <c r="P4" s="620">
        <v>0</v>
      </c>
      <c r="Q4" s="756">
        <f aca="true" t="shared" si="2" ref="Q4:Q10">SUM(R4-S4)/S4</f>
        <v>0.41693742794256367</v>
      </c>
      <c r="R4" s="757">
        <f>+C4+H4+M4</f>
        <v>13519</v>
      </c>
      <c r="S4" s="757">
        <f>+D4+I4+N4</f>
        <v>9541</v>
      </c>
      <c r="T4" s="757">
        <f>+E4+J4+O4</f>
        <v>6829</v>
      </c>
      <c r="U4" s="757">
        <f>+F4+K4+P4</f>
        <v>5210</v>
      </c>
      <c r="V4" s="758">
        <f aca="true" t="shared" si="3" ref="V4:V10">SUM(W4-X4)/X4</f>
        <v>-0.09929765076289658</v>
      </c>
      <c r="W4" s="550">
        <v>7438</v>
      </c>
      <c r="X4" s="550">
        <v>8258</v>
      </c>
      <c r="Y4" s="550">
        <v>4903</v>
      </c>
      <c r="Z4" s="1084">
        <v>3252</v>
      </c>
      <c r="AA4" s="759">
        <f aca="true" t="shared" si="4" ref="AA4:AA10">SUM(AB4-AC4)/AC4</f>
        <v>0.17742569807292544</v>
      </c>
      <c r="AB4" s="197">
        <f>+R4+W4</f>
        <v>20957</v>
      </c>
      <c r="AC4" s="197">
        <f>+S4+X4</f>
        <v>17799</v>
      </c>
      <c r="AD4" s="197">
        <f>+T4+Y4</f>
        <v>11732</v>
      </c>
      <c r="AE4" s="198">
        <f>+U4+Z4</f>
        <v>8462</v>
      </c>
      <c r="AF4" s="1075">
        <f aca="true" t="shared" si="5" ref="AF4:AF10">SUM(AG4-AH4)/AH4</f>
        <v>0.3617162498518431</v>
      </c>
      <c r="AG4" s="760">
        <v>114888</v>
      </c>
      <c r="AH4" s="760">
        <v>84370</v>
      </c>
      <c r="AI4" s="760">
        <v>63338</v>
      </c>
      <c r="AJ4" s="761">
        <v>46682</v>
      </c>
      <c r="AK4" s="787"/>
      <c r="AL4" s="787"/>
      <c r="AM4" s="787"/>
      <c r="AN4" s="787"/>
      <c r="AO4" s="787"/>
      <c r="AP4" s="787"/>
      <c r="AQ4" s="787"/>
      <c r="AR4" s="787"/>
      <c r="AS4" s="787"/>
      <c r="AT4" s="787"/>
    </row>
    <row r="5" spans="1:46" s="749" customFormat="1" ht="12.75">
      <c r="A5" s="539" t="s">
        <v>14</v>
      </c>
      <c r="B5" s="763">
        <f t="shared" si="0"/>
        <v>0.5836313071116408</v>
      </c>
      <c r="C5" s="1099">
        <v>11958</v>
      </c>
      <c r="D5" s="352">
        <v>7551</v>
      </c>
      <c r="E5" s="352">
        <v>4350</v>
      </c>
      <c r="F5" s="1104">
        <v>3070</v>
      </c>
      <c r="G5" s="764">
        <f t="shared" si="1"/>
        <v>0.6443768996960486</v>
      </c>
      <c r="H5" s="933">
        <v>5410</v>
      </c>
      <c r="I5" s="353">
        <v>3290</v>
      </c>
      <c r="J5" s="353">
        <v>2879</v>
      </c>
      <c r="K5" s="871">
        <v>1995</v>
      </c>
      <c r="L5" s="1092"/>
      <c r="M5" s="621">
        <v>0</v>
      </c>
      <c r="N5" s="621">
        <v>0</v>
      </c>
      <c r="O5" s="621">
        <v>0</v>
      </c>
      <c r="P5" s="621">
        <v>0</v>
      </c>
      <c r="Q5" s="765">
        <f t="shared" si="2"/>
        <v>0.6020662300525782</v>
      </c>
      <c r="R5" s="766">
        <f aca="true" t="shared" si="6" ref="R5:U10">+C5+H5+M5</f>
        <v>17368</v>
      </c>
      <c r="S5" s="766">
        <f t="shared" si="6"/>
        <v>10841</v>
      </c>
      <c r="T5" s="766">
        <f t="shared" si="6"/>
        <v>7229</v>
      </c>
      <c r="U5" s="766">
        <f t="shared" si="6"/>
        <v>5065</v>
      </c>
      <c r="V5" s="767">
        <f t="shared" si="3"/>
        <v>0.6862625647273835</v>
      </c>
      <c r="W5" s="329">
        <v>11072</v>
      </c>
      <c r="X5" s="329">
        <v>6566</v>
      </c>
      <c r="Y5" s="329">
        <v>2440</v>
      </c>
      <c r="Z5" s="1085">
        <v>3562</v>
      </c>
      <c r="AA5" s="768">
        <f t="shared" si="4"/>
        <v>0.6338254725110588</v>
      </c>
      <c r="AB5" s="121">
        <f aca="true" t="shared" si="7" ref="AB5:AC16">+R5+W5</f>
        <v>28440</v>
      </c>
      <c r="AC5" s="121">
        <f t="shared" si="7"/>
        <v>17407</v>
      </c>
      <c r="AD5" s="121">
        <f aca="true" t="shared" si="8" ref="AD5:AD16">+T5+Y5</f>
        <v>9669</v>
      </c>
      <c r="AE5" s="122">
        <f aca="true" t="shared" si="9" ref="AE5:AE16">+U5+Z5</f>
        <v>8627</v>
      </c>
      <c r="AF5" s="1076">
        <f t="shared" si="5"/>
        <v>0.6387509559560098</v>
      </c>
      <c r="AG5" s="481">
        <v>152140</v>
      </c>
      <c r="AH5" s="481">
        <v>92839</v>
      </c>
      <c r="AI5" s="481">
        <v>64425</v>
      </c>
      <c r="AJ5" s="769">
        <v>47321</v>
      </c>
      <c r="AK5" s="787"/>
      <c r="AL5" s="787"/>
      <c r="AM5" s="787"/>
      <c r="AN5" s="787"/>
      <c r="AO5" s="787"/>
      <c r="AP5" s="787"/>
      <c r="AQ5" s="787"/>
      <c r="AR5" s="787"/>
      <c r="AS5" s="787"/>
      <c r="AT5" s="787"/>
    </row>
    <row r="6" spans="1:46" s="749" customFormat="1" ht="12.75">
      <c r="A6" s="539" t="s">
        <v>15</v>
      </c>
      <c r="B6" s="763">
        <f t="shared" si="0"/>
        <v>0.5084719415513758</v>
      </c>
      <c r="C6" s="1405">
        <v>9704</v>
      </c>
      <c r="D6" s="352">
        <v>6433</v>
      </c>
      <c r="E6" s="352">
        <v>4772</v>
      </c>
      <c r="F6" s="828">
        <v>3518</v>
      </c>
      <c r="G6" s="764">
        <f t="shared" si="1"/>
        <v>0.3315804849547181</v>
      </c>
      <c r="H6" s="933">
        <v>4558</v>
      </c>
      <c r="I6" s="353">
        <v>3423</v>
      </c>
      <c r="J6" s="353">
        <v>2628</v>
      </c>
      <c r="K6" s="871">
        <v>2269</v>
      </c>
      <c r="L6" s="1092"/>
      <c r="M6" s="621">
        <v>0</v>
      </c>
      <c r="N6" s="621">
        <v>0</v>
      </c>
      <c r="O6" s="621">
        <v>0</v>
      </c>
      <c r="P6" s="621">
        <v>0</v>
      </c>
      <c r="Q6" s="765">
        <f t="shared" si="2"/>
        <v>0.44703733766233766</v>
      </c>
      <c r="R6" s="766">
        <f>+C6+H6+M6</f>
        <v>14262</v>
      </c>
      <c r="S6" s="766">
        <f t="shared" si="6"/>
        <v>9856</v>
      </c>
      <c r="T6" s="766">
        <f t="shared" si="6"/>
        <v>7400</v>
      </c>
      <c r="U6" s="766">
        <f t="shared" si="6"/>
        <v>5787</v>
      </c>
      <c r="V6" s="767">
        <f t="shared" si="3"/>
        <v>0.05895281189398836</v>
      </c>
      <c r="W6" s="329">
        <v>8191</v>
      </c>
      <c r="X6" s="329">
        <v>7735</v>
      </c>
      <c r="Y6" s="329">
        <v>3989</v>
      </c>
      <c r="Z6" s="1085">
        <v>2970</v>
      </c>
      <c r="AA6" s="768">
        <f t="shared" si="4"/>
        <v>0.27639133647888126</v>
      </c>
      <c r="AB6" s="121">
        <f>+R6+W6</f>
        <v>22453</v>
      </c>
      <c r="AC6" s="121">
        <f t="shared" si="7"/>
        <v>17591</v>
      </c>
      <c r="AD6" s="121">
        <f t="shared" si="8"/>
        <v>11389</v>
      </c>
      <c r="AE6" s="122">
        <f t="shared" si="9"/>
        <v>8757</v>
      </c>
      <c r="AF6" s="1076">
        <f t="shared" si="5"/>
        <v>0.4621993527206687</v>
      </c>
      <c r="AG6" s="481">
        <v>125600</v>
      </c>
      <c r="AH6" s="481">
        <v>85898</v>
      </c>
      <c r="AI6" s="481">
        <v>68090</v>
      </c>
      <c r="AJ6" s="769">
        <v>51802</v>
      </c>
      <c r="AK6" s="787"/>
      <c r="AL6" s="787"/>
      <c r="AM6" s="787"/>
      <c r="AN6" s="787"/>
      <c r="AO6" s="787"/>
      <c r="AP6" s="787"/>
      <c r="AQ6" s="787"/>
      <c r="AR6" s="787"/>
      <c r="AS6" s="787"/>
      <c r="AT6" s="787"/>
    </row>
    <row r="7" spans="1:46" s="749" customFormat="1" ht="12.75">
      <c r="A7" s="539" t="s">
        <v>16</v>
      </c>
      <c r="B7" s="763">
        <f t="shared" si="0"/>
        <v>0.7144956579826319</v>
      </c>
      <c r="C7" s="1405">
        <v>12833</v>
      </c>
      <c r="D7" s="352">
        <v>7485</v>
      </c>
      <c r="E7" s="352">
        <v>5440</v>
      </c>
      <c r="F7" s="828">
        <v>5133</v>
      </c>
      <c r="G7" s="764">
        <f t="shared" si="1"/>
        <v>0.2888529139685476</v>
      </c>
      <c r="H7" s="933">
        <v>5573</v>
      </c>
      <c r="I7" s="353">
        <v>4324</v>
      </c>
      <c r="J7" s="353">
        <v>3289</v>
      </c>
      <c r="K7" s="871">
        <v>5070</v>
      </c>
      <c r="L7" s="1092"/>
      <c r="M7" s="621">
        <v>0</v>
      </c>
      <c r="N7" s="621">
        <v>0</v>
      </c>
      <c r="O7" s="621">
        <v>0</v>
      </c>
      <c r="P7" s="621">
        <v>0</v>
      </c>
      <c r="Q7" s="765">
        <f t="shared" si="2"/>
        <v>0.5586417139469896</v>
      </c>
      <c r="R7" s="766">
        <f>+C7+H7+M7</f>
        <v>18406</v>
      </c>
      <c r="S7" s="766">
        <f t="shared" si="6"/>
        <v>11809</v>
      </c>
      <c r="T7" s="766">
        <f t="shared" si="6"/>
        <v>8729</v>
      </c>
      <c r="U7" s="766">
        <f t="shared" si="6"/>
        <v>10203</v>
      </c>
      <c r="V7" s="767">
        <f t="shared" si="3"/>
        <v>0.1046069037931487</v>
      </c>
      <c r="W7" s="329">
        <v>8416</v>
      </c>
      <c r="X7" s="329">
        <v>7619</v>
      </c>
      <c r="Y7" s="329">
        <v>4014</v>
      </c>
      <c r="Z7" s="1085">
        <v>5945</v>
      </c>
      <c r="AA7" s="768">
        <f t="shared" si="4"/>
        <v>0.3805847230800906</v>
      </c>
      <c r="AB7" s="121">
        <f>+R7+W7</f>
        <v>26822</v>
      </c>
      <c r="AC7" s="121">
        <f t="shared" si="7"/>
        <v>19428</v>
      </c>
      <c r="AD7" s="121">
        <f t="shared" si="8"/>
        <v>12743</v>
      </c>
      <c r="AE7" s="122">
        <f t="shared" si="9"/>
        <v>16148</v>
      </c>
      <c r="AF7" s="1076">
        <f t="shared" si="5"/>
        <v>0.4746188411200283</v>
      </c>
      <c r="AG7" s="481">
        <v>150302</v>
      </c>
      <c r="AH7" s="481">
        <v>101926</v>
      </c>
      <c r="AI7" s="481">
        <v>74122</v>
      </c>
      <c r="AJ7" s="769">
        <v>96386</v>
      </c>
      <c r="AK7" s="787"/>
      <c r="AL7" s="787"/>
      <c r="AM7" s="787"/>
      <c r="AN7" s="787"/>
      <c r="AO7" s="787"/>
      <c r="AP7" s="787"/>
      <c r="AQ7" s="787"/>
      <c r="AR7" s="787"/>
      <c r="AS7" s="787"/>
      <c r="AT7" s="787"/>
    </row>
    <row r="8" spans="1:46" s="749" customFormat="1" ht="12.75">
      <c r="A8" s="539" t="s">
        <v>17</v>
      </c>
      <c r="B8" s="763">
        <f t="shared" si="0"/>
        <v>0.7575150300601202</v>
      </c>
      <c r="C8" s="1405">
        <v>13155</v>
      </c>
      <c r="D8" s="352">
        <v>7485</v>
      </c>
      <c r="E8" s="352">
        <v>5053</v>
      </c>
      <c r="F8" s="828">
        <v>3832</v>
      </c>
      <c r="G8" s="764">
        <f t="shared" si="1"/>
        <v>0.6606523247744622</v>
      </c>
      <c r="H8" s="933">
        <v>7179</v>
      </c>
      <c r="I8" s="353">
        <v>4323</v>
      </c>
      <c r="J8" s="353">
        <v>3022</v>
      </c>
      <c r="K8" s="871">
        <v>3533</v>
      </c>
      <c r="L8" s="1092"/>
      <c r="M8" s="621">
        <v>0</v>
      </c>
      <c r="N8" s="621">
        <v>0</v>
      </c>
      <c r="O8" s="621">
        <v>0</v>
      </c>
      <c r="P8" s="621">
        <v>0</v>
      </c>
      <c r="Q8" s="765">
        <f t="shared" si="2"/>
        <v>0.7220528455284553</v>
      </c>
      <c r="R8" s="766">
        <f>+C8+H8+M8</f>
        <v>20334</v>
      </c>
      <c r="S8" s="766">
        <f t="shared" si="6"/>
        <v>11808</v>
      </c>
      <c r="T8" s="766">
        <f t="shared" si="6"/>
        <v>8075</v>
      </c>
      <c r="U8" s="766">
        <f t="shared" si="6"/>
        <v>7365</v>
      </c>
      <c r="V8" s="767">
        <f t="shared" si="3"/>
        <v>0.19583784434019005</v>
      </c>
      <c r="W8" s="329">
        <v>9941</v>
      </c>
      <c r="X8" s="329">
        <v>8313</v>
      </c>
      <c r="Y8" s="329">
        <v>4334</v>
      </c>
      <c r="Z8" s="1085">
        <v>4584</v>
      </c>
      <c r="AA8" s="768">
        <f t="shared" si="4"/>
        <v>0.5046468863376572</v>
      </c>
      <c r="AB8" s="121">
        <f>+R8+W8</f>
        <v>30275</v>
      </c>
      <c r="AC8" s="121">
        <f t="shared" si="7"/>
        <v>20121</v>
      </c>
      <c r="AD8" s="121">
        <f t="shared" si="8"/>
        <v>12409</v>
      </c>
      <c r="AE8" s="122">
        <f t="shared" si="9"/>
        <v>11949</v>
      </c>
      <c r="AF8" s="1076">
        <f t="shared" si="5"/>
        <v>0.7900459048079246</v>
      </c>
      <c r="AG8" s="481">
        <v>177816</v>
      </c>
      <c r="AH8" s="481">
        <v>99336</v>
      </c>
      <c r="AI8" s="481">
        <v>69956</v>
      </c>
      <c r="AJ8" s="769">
        <v>69961</v>
      </c>
      <c r="AK8" s="787"/>
      <c r="AL8" s="787"/>
      <c r="AM8" s="787"/>
      <c r="AN8" s="787"/>
      <c r="AO8" s="787"/>
      <c r="AP8" s="787"/>
      <c r="AQ8" s="787"/>
      <c r="AR8" s="787"/>
      <c r="AS8" s="787"/>
      <c r="AT8" s="787"/>
    </row>
    <row r="9" spans="1:46" s="749" customFormat="1" ht="12.75">
      <c r="A9" s="539" t="s">
        <v>18</v>
      </c>
      <c r="B9" s="763">
        <f t="shared" si="0"/>
        <v>0.5443191865605659</v>
      </c>
      <c r="C9" s="1405">
        <v>13973</v>
      </c>
      <c r="D9" s="737">
        <v>9048</v>
      </c>
      <c r="E9" s="737">
        <v>5303</v>
      </c>
      <c r="F9" s="828">
        <v>3325</v>
      </c>
      <c r="G9" s="764">
        <f t="shared" si="1"/>
        <v>0.4414277577368521</v>
      </c>
      <c r="H9" s="933">
        <v>7592</v>
      </c>
      <c r="I9" s="541">
        <v>5267</v>
      </c>
      <c r="J9" s="541">
        <v>2454</v>
      </c>
      <c r="K9" s="807">
        <v>2636</v>
      </c>
      <c r="L9" s="1092"/>
      <c r="M9" s="1103">
        <v>0</v>
      </c>
      <c r="N9" s="621">
        <v>0</v>
      </c>
      <c r="O9" s="621">
        <v>0</v>
      </c>
      <c r="P9" s="621">
        <v>0</v>
      </c>
      <c r="Q9" s="765">
        <f t="shared" si="2"/>
        <v>0.5064617534055187</v>
      </c>
      <c r="R9" s="766">
        <f>+C9+H9+M9</f>
        <v>21565</v>
      </c>
      <c r="S9" s="766">
        <f t="shared" si="6"/>
        <v>14315</v>
      </c>
      <c r="T9" s="766">
        <f t="shared" si="6"/>
        <v>7757</v>
      </c>
      <c r="U9" s="766">
        <f t="shared" si="6"/>
        <v>5961</v>
      </c>
      <c r="V9" s="767">
        <f t="shared" si="3"/>
        <v>-0.12859577027162475</v>
      </c>
      <c r="W9" s="328">
        <v>8694</v>
      </c>
      <c r="X9" s="328">
        <v>9977</v>
      </c>
      <c r="Y9" s="328">
        <v>4879</v>
      </c>
      <c r="Z9" s="952">
        <v>2548</v>
      </c>
      <c r="AA9" s="768">
        <f t="shared" si="4"/>
        <v>0.24563642351391404</v>
      </c>
      <c r="AB9" s="121">
        <f>+R9+W9</f>
        <v>30259</v>
      </c>
      <c r="AC9" s="121">
        <f t="shared" si="7"/>
        <v>24292</v>
      </c>
      <c r="AD9" s="121">
        <f t="shared" si="8"/>
        <v>12636</v>
      </c>
      <c r="AE9" s="122">
        <f t="shared" si="9"/>
        <v>8509</v>
      </c>
      <c r="AF9" s="1076">
        <f t="shared" si="5"/>
        <v>0.45615547563919406</v>
      </c>
      <c r="AG9" s="770">
        <v>177351</v>
      </c>
      <c r="AH9" s="770">
        <v>121794</v>
      </c>
      <c r="AI9" s="770">
        <v>65335</v>
      </c>
      <c r="AJ9" s="769">
        <v>56631</v>
      </c>
      <c r="AK9" s="787"/>
      <c r="AL9" s="787"/>
      <c r="AM9" s="787"/>
      <c r="AN9" s="787"/>
      <c r="AO9" s="787"/>
      <c r="AP9" s="787"/>
      <c r="AQ9" s="787"/>
      <c r="AR9" s="787"/>
      <c r="AS9" s="787"/>
      <c r="AT9" s="787"/>
    </row>
    <row r="10" spans="1:46" s="749" customFormat="1" ht="12.75">
      <c r="A10" s="539" t="s">
        <v>19</v>
      </c>
      <c r="B10" s="763">
        <f t="shared" si="0"/>
        <v>0.578131877806145</v>
      </c>
      <c r="C10" s="1405">
        <v>17926</v>
      </c>
      <c r="D10" s="737">
        <v>11359</v>
      </c>
      <c r="E10" s="737">
        <v>7099</v>
      </c>
      <c r="F10" s="828">
        <v>4086</v>
      </c>
      <c r="G10" s="764">
        <f t="shared" si="1"/>
        <v>1.1021517553793885</v>
      </c>
      <c r="H10" s="933">
        <v>9281</v>
      </c>
      <c r="I10" s="541">
        <v>4415</v>
      </c>
      <c r="J10" s="541">
        <v>2592</v>
      </c>
      <c r="K10" s="807">
        <v>3013</v>
      </c>
      <c r="L10" s="1092"/>
      <c r="M10" s="1103">
        <v>0</v>
      </c>
      <c r="N10" s="621">
        <v>0</v>
      </c>
      <c r="O10" s="621">
        <v>0</v>
      </c>
      <c r="P10" s="621">
        <v>0</v>
      </c>
      <c r="Q10" s="765">
        <f t="shared" si="2"/>
        <v>0.7248003042982123</v>
      </c>
      <c r="R10" s="766">
        <f>+C10+H10+M10</f>
        <v>27207</v>
      </c>
      <c r="S10" s="766">
        <f t="shared" si="6"/>
        <v>15774</v>
      </c>
      <c r="T10" s="766">
        <f t="shared" si="6"/>
        <v>9691</v>
      </c>
      <c r="U10" s="766">
        <f t="shared" si="6"/>
        <v>7099</v>
      </c>
      <c r="V10" s="767">
        <f t="shared" si="3"/>
        <v>0.5691318327974276</v>
      </c>
      <c r="W10" s="328">
        <v>10736</v>
      </c>
      <c r="X10" s="328">
        <v>6842</v>
      </c>
      <c r="Y10" s="328">
        <v>5127</v>
      </c>
      <c r="Z10" s="952">
        <v>2793</v>
      </c>
      <c r="AA10" s="768">
        <f t="shared" si="4"/>
        <v>0.6777060488149982</v>
      </c>
      <c r="AB10" s="121">
        <f>+R10+W10</f>
        <v>37943</v>
      </c>
      <c r="AC10" s="121">
        <f t="shared" si="7"/>
        <v>22616</v>
      </c>
      <c r="AD10" s="121">
        <f t="shared" si="8"/>
        <v>14818</v>
      </c>
      <c r="AE10" s="122">
        <f t="shared" si="9"/>
        <v>9892</v>
      </c>
      <c r="AF10" s="1076">
        <f t="shared" si="5"/>
        <v>1.0757472704492572</v>
      </c>
      <c r="AG10" s="770">
        <v>231944</v>
      </c>
      <c r="AH10" s="770">
        <v>111740</v>
      </c>
      <c r="AI10" s="770">
        <v>73517</v>
      </c>
      <c r="AJ10" s="769">
        <v>65818</v>
      </c>
      <c r="AK10" s="787"/>
      <c r="AL10" s="787"/>
      <c r="AM10" s="787"/>
      <c r="AN10" s="787"/>
      <c r="AO10" s="787"/>
      <c r="AP10" s="787"/>
      <c r="AQ10" s="787"/>
      <c r="AR10" s="787"/>
      <c r="AS10" s="787"/>
      <c r="AT10" s="787"/>
    </row>
    <row r="11" spans="1:46" s="749" customFormat="1" ht="12.75">
      <c r="A11" s="539" t="s">
        <v>20</v>
      </c>
      <c r="B11" s="763"/>
      <c r="C11" s="1405"/>
      <c r="D11" s="737">
        <v>11516</v>
      </c>
      <c r="E11" s="737">
        <v>6109</v>
      </c>
      <c r="F11" s="828">
        <v>3971</v>
      </c>
      <c r="G11" s="764"/>
      <c r="H11" s="933"/>
      <c r="I11" s="541">
        <v>4383</v>
      </c>
      <c r="J11" s="541">
        <v>1822</v>
      </c>
      <c r="K11" s="807">
        <v>2500</v>
      </c>
      <c r="L11" s="1092"/>
      <c r="M11" s="1103"/>
      <c r="N11" s="621">
        <v>0</v>
      </c>
      <c r="O11" s="621">
        <v>0</v>
      </c>
      <c r="P11" s="621">
        <v>0</v>
      </c>
      <c r="Q11" s="765"/>
      <c r="R11" s="766"/>
      <c r="S11" s="766">
        <f aca="true" t="shared" si="10" ref="R11:S16">+D11+I11+N11</f>
        <v>15899</v>
      </c>
      <c r="T11" s="766">
        <f aca="true" t="shared" si="11" ref="T11:U16">+E11+J11+O11</f>
        <v>7931</v>
      </c>
      <c r="U11" s="766">
        <f t="shared" si="11"/>
        <v>6471</v>
      </c>
      <c r="V11" s="767"/>
      <c r="W11" s="328"/>
      <c r="X11" s="328">
        <v>10535</v>
      </c>
      <c r="Y11" s="328">
        <v>4471</v>
      </c>
      <c r="Z11" s="952">
        <v>2600</v>
      </c>
      <c r="AA11" s="768"/>
      <c r="AB11" s="121"/>
      <c r="AC11" s="121">
        <f t="shared" si="7"/>
        <v>26434</v>
      </c>
      <c r="AD11" s="121">
        <f t="shared" si="8"/>
        <v>12402</v>
      </c>
      <c r="AE11" s="122">
        <f t="shared" si="9"/>
        <v>9071</v>
      </c>
      <c r="AF11" s="1076"/>
      <c r="AG11" s="770"/>
      <c r="AH11" s="770">
        <v>113809</v>
      </c>
      <c r="AI11" s="770">
        <v>63537</v>
      </c>
      <c r="AJ11" s="769">
        <v>61213</v>
      </c>
      <c r="AK11" s="787"/>
      <c r="AL11" s="787"/>
      <c r="AM11" s="787"/>
      <c r="AN11" s="787"/>
      <c r="AO11" s="787"/>
      <c r="AP11" s="787"/>
      <c r="AQ11" s="787"/>
      <c r="AR11" s="787"/>
      <c r="AS11" s="787"/>
      <c r="AT11" s="787"/>
    </row>
    <row r="12" spans="1:46" s="749" customFormat="1" ht="12.75">
      <c r="A12" s="539" t="s">
        <v>21</v>
      </c>
      <c r="B12" s="763"/>
      <c r="C12" s="1405"/>
      <c r="D12" s="737">
        <v>11444</v>
      </c>
      <c r="E12" s="737">
        <v>7459</v>
      </c>
      <c r="F12" s="828">
        <v>6197</v>
      </c>
      <c r="G12" s="764"/>
      <c r="H12" s="933"/>
      <c r="I12" s="541">
        <v>4961</v>
      </c>
      <c r="J12" s="541">
        <v>2413</v>
      </c>
      <c r="K12" s="807">
        <v>2976</v>
      </c>
      <c r="L12" s="1092"/>
      <c r="M12" s="1103"/>
      <c r="N12" s="621">
        <v>0</v>
      </c>
      <c r="O12" s="621">
        <v>0</v>
      </c>
      <c r="P12" s="621">
        <v>0</v>
      </c>
      <c r="Q12" s="765"/>
      <c r="R12" s="766"/>
      <c r="S12" s="766">
        <f t="shared" si="10"/>
        <v>16405</v>
      </c>
      <c r="T12" s="766">
        <f t="shared" si="11"/>
        <v>9872</v>
      </c>
      <c r="U12" s="766">
        <f t="shared" si="11"/>
        <v>9173</v>
      </c>
      <c r="V12" s="767"/>
      <c r="W12" s="328"/>
      <c r="X12" s="328">
        <v>9683</v>
      </c>
      <c r="Y12" s="328">
        <v>5064</v>
      </c>
      <c r="Z12" s="952">
        <v>4001</v>
      </c>
      <c r="AA12" s="768"/>
      <c r="AB12" s="121"/>
      <c r="AC12" s="121">
        <f t="shared" si="7"/>
        <v>26088</v>
      </c>
      <c r="AD12" s="121">
        <f t="shared" si="8"/>
        <v>14936</v>
      </c>
      <c r="AE12" s="122">
        <f t="shared" si="9"/>
        <v>13174</v>
      </c>
      <c r="AF12" s="1076"/>
      <c r="AG12" s="770"/>
      <c r="AH12" s="770">
        <v>127404</v>
      </c>
      <c r="AI12" s="770">
        <v>77656</v>
      </c>
      <c r="AJ12" s="769">
        <v>74460</v>
      </c>
      <c r="AK12" s="787"/>
      <c r="AL12" s="787"/>
      <c r="AM12" s="787"/>
      <c r="AN12" s="787"/>
      <c r="AO12" s="787"/>
      <c r="AP12" s="787"/>
      <c r="AQ12" s="787"/>
      <c r="AR12" s="787"/>
      <c r="AS12" s="787"/>
      <c r="AT12" s="787"/>
    </row>
    <row r="13" spans="1:46" s="749" customFormat="1" ht="12.75">
      <c r="A13" s="539" t="s">
        <v>22</v>
      </c>
      <c r="B13" s="763"/>
      <c r="C13" s="1405"/>
      <c r="D13" s="737">
        <v>13365</v>
      </c>
      <c r="E13" s="737">
        <v>6787</v>
      </c>
      <c r="F13" s="828">
        <v>5871</v>
      </c>
      <c r="G13" s="764"/>
      <c r="H13" s="933"/>
      <c r="I13" s="541">
        <v>4869</v>
      </c>
      <c r="J13" s="541">
        <v>1663</v>
      </c>
      <c r="K13" s="807">
        <v>3139</v>
      </c>
      <c r="L13" s="1092"/>
      <c r="M13" s="1103"/>
      <c r="N13" s="621">
        <v>0</v>
      </c>
      <c r="O13" s="621">
        <v>0</v>
      </c>
      <c r="P13" s="621">
        <v>0</v>
      </c>
      <c r="Q13" s="765"/>
      <c r="R13" s="766"/>
      <c r="S13" s="766">
        <f t="shared" si="10"/>
        <v>18234</v>
      </c>
      <c r="T13" s="766">
        <f t="shared" si="11"/>
        <v>8450</v>
      </c>
      <c r="U13" s="766">
        <f t="shared" si="11"/>
        <v>9010</v>
      </c>
      <c r="V13" s="767"/>
      <c r="W13" s="328"/>
      <c r="X13" s="328">
        <v>10144</v>
      </c>
      <c r="Y13" s="328">
        <v>5559</v>
      </c>
      <c r="Z13" s="952">
        <v>3392</v>
      </c>
      <c r="AA13" s="768"/>
      <c r="AB13" s="121"/>
      <c r="AC13" s="121">
        <f t="shared" si="7"/>
        <v>28378</v>
      </c>
      <c r="AD13" s="121">
        <f t="shared" si="8"/>
        <v>14009</v>
      </c>
      <c r="AE13" s="122">
        <f t="shared" si="9"/>
        <v>12402</v>
      </c>
      <c r="AF13" s="1076"/>
      <c r="AG13" s="770"/>
      <c r="AH13" s="770">
        <v>130480</v>
      </c>
      <c r="AI13" s="770">
        <v>64676</v>
      </c>
      <c r="AJ13" s="769">
        <v>71496</v>
      </c>
      <c r="AK13" s="787"/>
      <c r="AL13" s="787"/>
      <c r="AM13" s="787"/>
      <c r="AN13" s="787"/>
      <c r="AO13" s="787"/>
      <c r="AP13" s="787"/>
      <c r="AQ13" s="787"/>
      <c r="AR13" s="787"/>
      <c r="AS13" s="787"/>
      <c r="AT13" s="787"/>
    </row>
    <row r="14" spans="1:46" s="749" customFormat="1" ht="12.75">
      <c r="A14" s="539" t="s">
        <v>23</v>
      </c>
      <c r="B14" s="763"/>
      <c r="C14" s="1405"/>
      <c r="D14" s="352">
        <v>10886</v>
      </c>
      <c r="E14" s="352">
        <v>6783</v>
      </c>
      <c r="F14" s="828">
        <v>5714</v>
      </c>
      <c r="G14" s="764"/>
      <c r="H14" s="933"/>
      <c r="I14" s="353">
        <v>3861</v>
      </c>
      <c r="J14" s="353">
        <v>1997</v>
      </c>
      <c r="K14" s="807">
        <v>2497</v>
      </c>
      <c r="L14" s="1092"/>
      <c r="M14" s="1103"/>
      <c r="N14" s="621">
        <v>0</v>
      </c>
      <c r="O14" s="621">
        <v>0</v>
      </c>
      <c r="P14" s="621">
        <v>0</v>
      </c>
      <c r="Q14" s="765"/>
      <c r="R14" s="766"/>
      <c r="S14" s="766">
        <f t="shared" si="10"/>
        <v>14747</v>
      </c>
      <c r="T14" s="766">
        <f t="shared" si="11"/>
        <v>8780</v>
      </c>
      <c r="U14" s="766">
        <f t="shared" si="11"/>
        <v>8211</v>
      </c>
      <c r="V14" s="767"/>
      <c r="W14" s="329"/>
      <c r="X14" s="329">
        <v>11771</v>
      </c>
      <c r="Y14" s="329">
        <v>8119</v>
      </c>
      <c r="Z14" s="952">
        <v>4985</v>
      </c>
      <c r="AA14" s="768"/>
      <c r="AB14" s="121"/>
      <c r="AC14" s="121">
        <f t="shared" si="7"/>
        <v>26518</v>
      </c>
      <c r="AD14" s="121">
        <f t="shared" si="8"/>
        <v>16899</v>
      </c>
      <c r="AE14" s="122">
        <f t="shared" si="9"/>
        <v>13196</v>
      </c>
      <c r="AF14" s="1076"/>
      <c r="AG14" s="770"/>
      <c r="AH14" s="770">
        <v>120117</v>
      </c>
      <c r="AI14" s="770">
        <v>71054</v>
      </c>
      <c r="AJ14" s="769">
        <v>70003</v>
      </c>
      <c r="AK14" s="787"/>
      <c r="AL14" s="787"/>
      <c r="AM14" s="787"/>
      <c r="AN14" s="787"/>
      <c r="AO14" s="787"/>
      <c r="AP14" s="787"/>
      <c r="AQ14" s="787"/>
      <c r="AR14" s="787"/>
      <c r="AS14" s="787"/>
      <c r="AT14" s="787"/>
    </row>
    <row r="15" spans="1:46" s="749" customFormat="1" ht="13.5" thickBot="1">
      <c r="A15" s="791" t="s">
        <v>24</v>
      </c>
      <c r="B15" s="992"/>
      <c r="C15" s="1406"/>
      <c r="D15" s="387">
        <v>8562</v>
      </c>
      <c r="E15" s="387">
        <v>6458</v>
      </c>
      <c r="F15" s="947">
        <v>4361</v>
      </c>
      <c r="G15" s="774"/>
      <c r="H15" s="882"/>
      <c r="I15" s="385">
        <v>3799</v>
      </c>
      <c r="J15" s="385">
        <v>3139</v>
      </c>
      <c r="K15" s="808">
        <v>2519</v>
      </c>
      <c r="L15" s="1266"/>
      <c r="M15" s="1267"/>
      <c r="N15" s="865">
        <v>0</v>
      </c>
      <c r="O15" s="865">
        <v>0</v>
      </c>
      <c r="P15" s="865">
        <v>0</v>
      </c>
      <c r="Q15" s="1083"/>
      <c r="R15" s="1269"/>
      <c r="S15" s="1269">
        <f t="shared" si="10"/>
        <v>12361</v>
      </c>
      <c r="T15" s="1269">
        <f t="shared" si="11"/>
        <v>9597</v>
      </c>
      <c r="U15" s="1269">
        <f t="shared" si="11"/>
        <v>6880</v>
      </c>
      <c r="V15" s="777"/>
      <c r="W15" s="133"/>
      <c r="X15" s="133">
        <v>10895</v>
      </c>
      <c r="Y15" s="133">
        <v>7457</v>
      </c>
      <c r="Z15" s="953">
        <v>5412</v>
      </c>
      <c r="AA15" s="778"/>
      <c r="AB15" s="555"/>
      <c r="AC15" s="555">
        <f t="shared" si="7"/>
        <v>23256</v>
      </c>
      <c r="AD15" s="555">
        <f t="shared" si="8"/>
        <v>17054</v>
      </c>
      <c r="AE15" s="556">
        <f t="shared" si="9"/>
        <v>12292</v>
      </c>
      <c r="AF15" s="1096"/>
      <c r="AG15" s="1087"/>
      <c r="AH15" s="1087">
        <v>107045</v>
      </c>
      <c r="AI15" s="1087">
        <v>92318</v>
      </c>
      <c r="AJ15" s="1088">
        <v>60920</v>
      </c>
      <c r="AK15" s="787"/>
      <c r="AL15" s="787"/>
      <c r="AM15" s="787"/>
      <c r="AN15" s="787"/>
      <c r="AO15" s="787"/>
      <c r="AP15" s="787"/>
      <c r="AQ15" s="787"/>
      <c r="AR15" s="787"/>
      <c r="AS15" s="787"/>
      <c r="AT15" s="787"/>
    </row>
    <row r="16" spans="1:46" s="543" customFormat="1" ht="11.25">
      <c r="A16" s="781" t="s">
        <v>25</v>
      </c>
      <c r="B16" s="1050">
        <f>SUM(C16-D16)/D16</f>
        <v>0.5904966528756859</v>
      </c>
      <c r="C16" s="792">
        <f>SUM(C4:C10)</f>
        <v>89572</v>
      </c>
      <c r="D16" s="792">
        <f>SUM(D4:D10)</f>
        <v>56317</v>
      </c>
      <c r="E16" s="792">
        <f>SUM(E4:E10)</f>
        <v>36239</v>
      </c>
      <c r="F16" s="792">
        <f>SUM(F4:F10)</f>
        <v>26345</v>
      </c>
      <c r="G16" s="1050">
        <f>SUM(H16-I16)/I16</f>
        <v>0.5596698881528939</v>
      </c>
      <c r="H16" s="792">
        <f>SUM(H4:H10)</f>
        <v>43089</v>
      </c>
      <c r="I16" s="792">
        <f>SUM(I4:I10)</f>
        <v>27627</v>
      </c>
      <c r="J16" s="792">
        <f>SUM(J4:J10)</f>
        <v>19471</v>
      </c>
      <c r="K16" s="792">
        <f>SUM(K4:K10)</f>
        <v>20345</v>
      </c>
      <c r="L16" s="875" t="e">
        <f>SUM(M16-N16)/N16</f>
        <v>#DIV/0!</v>
      </c>
      <c r="M16" s="782">
        <f>SUM(M4:M6)</f>
        <v>0</v>
      </c>
      <c r="N16" s="782">
        <f>SUM(N4:N6)</f>
        <v>0</v>
      </c>
      <c r="O16" s="782">
        <f>SUM(O4:O6)</f>
        <v>0</v>
      </c>
      <c r="P16" s="1362">
        <f>SUM(P4:P6)</f>
        <v>0</v>
      </c>
      <c r="Q16" s="875">
        <f>SUM(R16-S16)/S16</f>
        <v>0.5803511865052893</v>
      </c>
      <c r="R16" s="876">
        <f t="shared" si="10"/>
        <v>132661</v>
      </c>
      <c r="S16" s="876">
        <f t="shared" si="10"/>
        <v>83944</v>
      </c>
      <c r="T16" s="876">
        <f t="shared" si="11"/>
        <v>55710</v>
      </c>
      <c r="U16" s="1105">
        <f t="shared" si="11"/>
        <v>46690</v>
      </c>
      <c r="V16" s="1268">
        <f>SUM(W16-X16)/X16</f>
        <v>0.1659374435002712</v>
      </c>
      <c r="W16" s="792">
        <f>SUM(W4:W10)</f>
        <v>64488</v>
      </c>
      <c r="X16" s="792">
        <f>SUM(X4:X10)</f>
        <v>55310</v>
      </c>
      <c r="Y16" s="792">
        <f>SUM(Y4:Y10)</f>
        <v>29686</v>
      </c>
      <c r="Z16" s="792">
        <f>SUM(Z4:Z10)</f>
        <v>25654</v>
      </c>
      <c r="AA16" s="875">
        <f>SUM(AB16-AC16)/AC16</f>
        <v>0.41575107357777874</v>
      </c>
      <c r="AB16" s="399">
        <f>+R16+W16</f>
        <v>197149</v>
      </c>
      <c r="AC16" s="399">
        <f t="shared" si="7"/>
        <v>139254</v>
      </c>
      <c r="AD16" s="399">
        <f t="shared" si="8"/>
        <v>85396</v>
      </c>
      <c r="AE16" s="400">
        <f t="shared" si="9"/>
        <v>72344</v>
      </c>
      <c r="AF16" s="875">
        <f>SUM(AG16-AH16)/AH16</f>
        <v>0.9278613627949904</v>
      </c>
      <c r="AG16" s="782">
        <f>SUM(AG4:AG10)</f>
        <v>1130041</v>
      </c>
      <c r="AH16" s="782">
        <f>SUM(AH4:AH9)</f>
        <v>586163</v>
      </c>
      <c r="AI16" s="782">
        <f>SUM(AI4:AI9)</f>
        <v>405266</v>
      </c>
      <c r="AJ16" s="782">
        <f>SUM(AJ4:AJ9)</f>
        <v>368783</v>
      </c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</row>
    <row r="17" spans="1:46" s="543" customFormat="1" ht="12" thickBot="1">
      <c r="A17" s="784" t="s">
        <v>28</v>
      </c>
      <c r="B17" s="878">
        <f>SUM(C17-D17)/D17</f>
        <v>0.3698991881523775</v>
      </c>
      <c r="C17" s="785">
        <f>AVERAGE(C4:C15)</f>
        <v>12796</v>
      </c>
      <c r="D17" s="785">
        <f>AVERAGE(D4:D15)</f>
        <v>9340.833333333334</v>
      </c>
      <c r="E17" s="785">
        <f>AVERAGE(E4:E15)</f>
        <v>5819.583333333333</v>
      </c>
      <c r="F17" s="786">
        <f>AVERAGE(F4:F15)</f>
        <v>4371.583333333333</v>
      </c>
      <c r="G17" s="878">
        <f>SUM(H17-I17)/I17</f>
        <v>0.49225974025974023</v>
      </c>
      <c r="H17" s="785">
        <f>AVERAGE(H4:H15)</f>
        <v>6155.571428571428</v>
      </c>
      <c r="I17" s="785">
        <f>AVERAGE(I4:I15)</f>
        <v>4125</v>
      </c>
      <c r="J17" s="785">
        <f>AVERAGE(J4:J15)</f>
        <v>2542.0833333333335</v>
      </c>
      <c r="K17" s="786">
        <f>AVERAGE(K4:K15)</f>
        <v>2831.3333333333335</v>
      </c>
      <c r="L17" s="878" t="e">
        <f>SUM(M17-N17)/N17</f>
        <v>#DIV/0!</v>
      </c>
      <c r="M17" s="785">
        <f>AVERAGE(M4:M15)</f>
        <v>0</v>
      </c>
      <c r="N17" s="785">
        <f>AVERAGE(N4:N15)</f>
        <v>0</v>
      </c>
      <c r="O17" s="785">
        <f>AVERAGE(O4:O15)</f>
        <v>0</v>
      </c>
      <c r="P17" s="786">
        <f>AVERAGE(P4:P15)</f>
        <v>0</v>
      </c>
      <c r="Q17" s="878">
        <f>SUM(R17-S17)/S17</f>
        <v>0.4073819985324409</v>
      </c>
      <c r="R17" s="785">
        <f>AVERAGE(R4:R15)</f>
        <v>18951.571428571428</v>
      </c>
      <c r="S17" s="785">
        <f>AVERAGE(S4:S15)</f>
        <v>13465.833333333334</v>
      </c>
      <c r="T17" s="785">
        <f>AVERAGE(T4:T15)</f>
        <v>8361.666666666666</v>
      </c>
      <c r="U17" s="786">
        <f>AVERAGE(U4:U15)</f>
        <v>7202.916666666667</v>
      </c>
      <c r="V17" s="1090">
        <f>SUM(W17-X17)/X17</f>
        <v>0.02042549375895032</v>
      </c>
      <c r="W17" s="785">
        <f>AVERAGE(W4:W15)</f>
        <v>9212.57142857143</v>
      </c>
      <c r="X17" s="785">
        <f>AVERAGE(X4:X15)</f>
        <v>9028.166666666666</v>
      </c>
      <c r="Y17" s="785">
        <f>AVERAGE(Y4:Y15)</f>
        <v>5029.666666666667</v>
      </c>
      <c r="Z17" s="786">
        <f>AVERAGE(Z4:Z15)</f>
        <v>3837</v>
      </c>
      <c r="AA17" s="878">
        <f>SUM(AB17-AC17)/AC17</f>
        <v>0.25207356882470255</v>
      </c>
      <c r="AB17" s="785">
        <f>AVERAGE(AB4:AB15)</f>
        <v>28164.14285714286</v>
      </c>
      <c r="AC17" s="785">
        <f>AVERAGE(AC4:AC15)</f>
        <v>22494</v>
      </c>
      <c r="AD17" s="785">
        <f>AVERAGE(AD4:AD15)</f>
        <v>13391.333333333334</v>
      </c>
      <c r="AE17" s="786">
        <f>AVERAGE(AE4:AE15)</f>
        <v>11039.916666666666</v>
      </c>
      <c r="AF17" s="878">
        <f>SUM(AG17-AH17)/AH17</f>
        <v>0.49388948659437065</v>
      </c>
      <c r="AG17" s="785">
        <f>AVERAGE(AG4:AG15)</f>
        <v>161434.42857142858</v>
      </c>
      <c r="AH17" s="785">
        <f>AVERAGE(AH4:AH15)</f>
        <v>108063.16666666667</v>
      </c>
      <c r="AI17" s="785">
        <f>AVERAGE(AI4:AI15)</f>
        <v>70668.66666666667</v>
      </c>
      <c r="AJ17" s="786">
        <f>AVERAGE(AJ4:AJ15)</f>
        <v>64391.083333333336</v>
      </c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</row>
    <row r="19" spans="3:35" s="618" customFormat="1" ht="11.25">
      <c r="C19" s="618">
        <v>89572</v>
      </c>
      <c r="D19" s="618">
        <v>56317</v>
      </c>
      <c r="H19" s="618">
        <v>43089</v>
      </c>
      <c r="I19" s="618">
        <v>27627</v>
      </c>
      <c r="N19" s="618">
        <v>3087124</v>
      </c>
      <c r="W19" s="618">
        <v>64488</v>
      </c>
      <c r="X19" s="618">
        <v>55310</v>
      </c>
      <c r="AG19" s="618">
        <v>1130041</v>
      </c>
      <c r="AH19" s="618">
        <v>697903</v>
      </c>
      <c r="AI19" s="618">
        <v>848024</v>
      </c>
    </row>
    <row r="20" spans="3:35" s="618" customFormat="1" ht="11.25">
      <c r="C20" s="618">
        <f>+C19-C16</f>
        <v>0</v>
      </c>
      <c r="D20" s="618">
        <f>+D19-D16</f>
        <v>0</v>
      </c>
      <c r="H20" s="618">
        <f>+H19-H16</f>
        <v>0</v>
      </c>
      <c r="I20" s="618">
        <f>+I19-I16</f>
        <v>0</v>
      </c>
      <c r="N20" s="618">
        <f>+N19-N16</f>
        <v>3087124</v>
      </c>
      <c r="W20" s="618">
        <f>+W19-W16</f>
        <v>0</v>
      </c>
      <c r="X20" s="618">
        <f>+X19-X16</f>
        <v>0</v>
      </c>
      <c r="AG20" s="618">
        <f>+AG19-AG16</f>
        <v>0</v>
      </c>
      <c r="AH20" s="618">
        <f>+AH19-AH16</f>
        <v>111740</v>
      </c>
      <c r="AI20" s="618">
        <f>+AI19-AI16</f>
        <v>442758</v>
      </c>
    </row>
  </sheetData>
  <mergeCells count="10">
    <mergeCell ref="A1:A2"/>
    <mergeCell ref="B1:E1"/>
    <mergeCell ref="AC1:AJ1"/>
    <mergeCell ref="B3:F3"/>
    <mergeCell ref="G3:K3"/>
    <mergeCell ref="L3:P3"/>
    <mergeCell ref="Q3:U3"/>
    <mergeCell ref="V3:Z3"/>
    <mergeCell ref="AA3:AE3"/>
    <mergeCell ref="AF3:AJ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B78"/>
  <sheetViews>
    <sheetView workbookViewId="0" topLeftCell="A1">
      <pane xSplit="1" ySplit="2" topLeftCell="AZ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G10" sqref="BG10:BH10"/>
    </sheetView>
  </sheetViews>
  <sheetFormatPr defaultColWidth="9.140625" defaultRowHeight="12.75"/>
  <cols>
    <col min="1" max="1" width="16.421875" style="3" customWidth="1"/>
    <col min="2" max="2" width="5.8515625" style="3" customWidth="1"/>
    <col min="3" max="3" width="7.57421875" style="3" customWidth="1"/>
    <col min="4" max="4" width="10.28125" style="3" bestFit="1" customWidth="1"/>
    <col min="5" max="8" width="7.8515625" style="103" bestFit="1" customWidth="1"/>
    <col min="9" max="13" width="7.8515625" style="3" bestFit="1" customWidth="1"/>
    <col min="14" max="19" width="6.57421875" style="3" customWidth="1"/>
    <col min="20" max="20" width="5.28125" style="3" customWidth="1"/>
    <col min="21" max="21" width="7.57421875" style="3" customWidth="1"/>
    <col min="22" max="22" width="10.28125" style="3" bestFit="1" customWidth="1"/>
    <col min="23" max="26" width="6.57421875" style="105" customWidth="1"/>
    <col min="27" max="30" width="6.57421875" style="3" customWidth="1"/>
    <col min="31" max="37" width="6.57421875" style="3" bestFit="1" customWidth="1"/>
    <col min="38" max="38" width="5.00390625" style="3" customWidth="1"/>
    <col min="39" max="39" width="7.57421875" style="3" customWidth="1"/>
    <col min="40" max="40" width="10.28125" style="3" bestFit="1" customWidth="1"/>
    <col min="41" max="46" width="7.8515625" style="3" bestFit="1" customWidth="1"/>
    <col min="47" max="55" width="6.57421875" style="3" customWidth="1"/>
    <col min="56" max="56" width="5.8515625" style="3" bestFit="1" customWidth="1"/>
    <col min="57" max="57" width="7.57421875" style="3" customWidth="1"/>
    <col min="58" max="58" width="10.28125" style="3" bestFit="1" customWidth="1"/>
    <col min="59" max="59" width="6.57421875" style="103" customWidth="1"/>
    <col min="60" max="60" width="7.8515625" style="103" customWidth="1"/>
    <col min="61" max="62" width="7.8515625" style="103" bestFit="1" customWidth="1"/>
    <col min="63" max="64" width="7.8515625" style="3" bestFit="1" customWidth="1"/>
    <col min="65" max="67" width="6.57421875" style="3" customWidth="1"/>
    <col min="68" max="73" width="6.57421875" style="3" bestFit="1" customWidth="1"/>
    <col min="74" max="74" width="5.8515625" style="3" bestFit="1" customWidth="1"/>
    <col min="75" max="75" width="7.57421875" style="3" customWidth="1"/>
    <col min="76" max="76" width="10.28125" style="3" bestFit="1" customWidth="1"/>
    <col min="77" max="82" width="7.8515625" style="3" bestFit="1" customWidth="1"/>
    <col min="83" max="91" width="6.57421875" style="3" customWidth="1"/>
    <col min="92" max="16384" width="9.140625" style="3" customWidth="1"/>
  </cols>
  <sheetData>
    <row r="1" spans="1:210" s="543" customFormat="1" ht="12" thickBot="1">
      <c r="A1" s="1963" t="s">
        <v>46</v>
      </c>
      <c r="B1" s="1967" t="s">
        <v>0</v>
      </c>
      <c r="C1" s="1968"/>
      <c r="D1" s="1968"/>
      <c r="E1" s="1968"/>
      <c r="F1" s="1968"/>
      <c r="G1" s="1968"/>
      <c r="H1" s="1968"/>
      <c r="I1" s="1968"/>
      <c r="J1" s="1968"/>
      <c r="K1" s="1968"/>
      <c r="L1" s="1968"/>
      <c r="M1" s="1968"/>
      <c r="N1" s="1968"/>
      <c r="O1" s="1968"/>
      <c r="P1" s="1968"/>
      <c r="Q1" s="1968"/>
      <c r="R1" s="1968"/>
      <c r="S1" s="1969"/>
      <c r="T1" s="1970" t="s">
        <v>1</v>
      </c>
      <c r="U1" s="1971"/>
      <c r="V1" s="1971"/>
      <c r="W1" s="1971"/>
      <c r="X1" s="1971"/>
      <c r="Y1" s="1971"/>
      <c r="Z1" s="1971"/>
      <c r="AA1" s="1971"/>
      <c r="AB1" s="1971"/>
      <c r="AC1" s="1971"/>
      <c r="AD1" s="1971"/>
      <c r="AE1" s="1971"/>
      <c r="AF1" s="1971"/>
      <c r="AG1" s="1971"/>
      <c r="AH1" s="1971"/>
      <c r="AI1" s="1971"/>
      <c r="AJ1" s="1971"/>
      <c r="AK1" s="1972"/>
      <c r="AL1" s="1981" t="s">
        <v>2</v>
      </c>
      <c r="AM1" s="1982"/>
      <c r="AN1" s="1982"/>
      <c r="AO1" s="1982"/>
      <c r="AP1" s="1982"/>
      <c r="AQ1" s="1982"/>
      <c r="AR1" s="1982"/>
      <c r="AS1" s="1982"/>
      <c r="AT1" s="1982"/>
      <c r="AU1" s="1982"/>
      <c r="AV1" s="1982"/>
      <c r="AW1" s="1982"/>
      <c r="AX1" s="1982"/>
      <c r="AY1" s="1982"/>
      <c r="AZ1" s="1982"/>
      <c r="BA1" s="1982"/>
      <c r="BB1" s="1982"/>
      <c r="BC1" s="1983"/>
      <c r="BD1" s="1984" t="s">
        <v>3</v>
      </c>
      <c r="BE1" s="1985"/>
      <c r="BF1" s="1985"/>
      <c r="BG1" s="1985"/>
      <c r="BH1" s="1985"/>
      <c r="BI1" s="1985"/>
      <c r="BJ1" s="1985"/>
      <c r="BK1" s="1985"/>
      <c r="BL1" s="1985"/>
      <c r="BM1" s="1985"/>
      <c r="BN1" s="1985"/>
      <c r="BO1" s="1985"/>
      <c r="BP1" s="1985"/>
      <c r="BQ1" s="1985"/>
      <c r="BR1" s="1985"/>
      <c r="BS1" s="1985"/>
      <c r="BT1" s="1985"/>
      <c r="BU1" s="1986"/>
      <c r="BV1" s="1973" t="s">
        <v>4</v>
      </c>
      <c r="BW1" s="1974"/>
      <c r="BX1" s="1974"/>
      <c r="BY1" s="1974"/>
      <c r="BZ1" s="1974"/>
      <c r="CA1" s="1974"/>
      <c r="CB1" s="1974"/>
      <c r="CC1" s="1974"/>
      <c r="CD1" s="1974"/>
      <c r="CE1" s="1974"/>
      <c r="CF1" s="1974"/>
      <c r="CG1" s="1974"/>
      <c r="CH1" s="1974"/>
      <c r="CI1" s="1974"/>
      <c r="CJ1" s="1974"/>
      <c r="CK1" s="1974"/>
      <c r="CL1" s="1974"/>
      <c r="CM1" s="1975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  <c r="ET1" s="319"/>
      <c r="EU1" s="319"/>
      <c r="EV1" s="319"/>
      <c r="EW1" s="319"/>
      <c r="EX1" s="319"/>
      <c r="EY1" s="319"/>
      <c r="EZ1" s="319"/>
      <c r="FA1" s="319"/>
      <c r="FB1" s="319"/>
      <c r="FC1" s="319"/>
      <c r="FD1" s="319"/>
      <c r="FE1" s="319"/>
      <c r="FF1" s="319"/>
      <c r="FG1" s="319"/>
      <c r="FH1" s="319"/>
      <c r="FI1" s="319"/>
      <c r="FJ1" s="319"/>
      <c r="FK1" s="319"/>
      <c r="FL1" s="319"/>
      <c r="FM1" s="319"/>
      <c r="FN1" s="319"/>
      <c r="FO1" s="319"/>
      <c r="FP1" s="319"/>
      <c r="FQ1" s="319"/>
      <c r="FR1" s="319"/>
      <c r="FS1" s="319"/>
      <c r="FT1" s="319"/>
      <c r="FU1" s="319"/>
      <c r="FV1" s="319"/>
      <c r="FW1" s="319"/>
      <c r="FX1" s="319"/>
      <c r="FY1" s="319"/>
      <c r="FZ1" s="319"/>
      <c r="GA1" s="319"/>
      <c r="GB1" s="319"/>
      <c r="GC1" s="319"/>
      <c r="GD1" s="319"/>
      <c r="GE1" s="319"/>
      <c r="GF1" s="319"/>
      <c r="GG1" s="319"/>
      <c r="GH1" s="319"/>
      <c r="GI1" s="319"/>
      <c r="GJ1" s="319"/>
      <c r="GK1" s="319"/>
      <c r="GL1" s="319"/>
      <c r="GM1" s="319"/>
      <c r="GN1" s="319"/>
      <c r="GO1" s="319"/>
      <c r="GP1" s="319"/>
      <c r="GQ1" s="319"/>
      <c r="GR1" s="319"/>
      <c r="GS1" s="319"/>
      <c r="GT1" s="319"/>
      <c r="GU1" s="319"/>
      <c r="GV1" s="319"/>
      <c r="GW1" s="319"/>
      <c r="GX1" s="319"/>
      <c r="GY1" s="319"/>
      <c r="GZ1" s="319"/>
      <c r="HA1" s="319"/>
      <c r="HB1" s="319"/>
    </row>
    <row r="2" spans="1:210" s="543" customFormat="1" ht="20.25" customHeight="1" thickBot="1">
      <c r="A2" s="1964"/>
      <c r="B2" s="1961" t="s">
        <v>181</v>
      </c>
      <c r="C2" s="1962"/>
      <c r="D2" s="503" t="s">
        <v>182</v>
      </c>
      <c r="E2" s="504">
        <v>2008</v>
      </c>
      <c r="F2" s="504">
        <v>2007</v>
      </c>
      <c r="G2" s="504">
        <v>2006</v>
      </c>
      <c r="H2" s="504">
        <v>2005</v>
      </c>
      <c r="I2" s="504">
        <v>2004</v>
      </c>
      <c r="J2" s="504" t="s">
        <v>5</v>
      </c>
      <c r="K2" s="504" t="s">
        <v>6</v>
      </c>
      <c r="L2" s="504">
        <v>2001</v>
      </c>
      <c r="M2" s="504" t="s">
        <v>7</v>
      </c>
      <c r="N2" s="504" t="s">
        <v>8</v>
      </c>
      <c r="O2" s="504" t="s">
        <v>9</v>
      </c>
      <c r="P2" s="504" t="s">
        <v>10</v>
      </c>
      <c r="Q2" s="504" t="s">
        <v>11</v>
      </c>
      <c r="R2" s="504" t="s">
        <v>12</v>
      </c>
      <c r="S2" s="505" t="s">
        <v>27</v>
      </c>
      <c r="T2" s="1965" t="s">
        <v>181</v>
      </c>
      <c r="U2" s="1966"/>
      <c r="V2" s="78" t="s">
        <v>182</v>
      </c>
      <c r="W2" s="958">
        <v>2008</v>
      </c>
      <c r="X2" s="78">
        <v>2007</v>
      </c>
      <c r="Y2" s="78">
        <v>2006</v>
      </c>
      <c r="Z2" s="78">
        <v>2005</v>
      </c>
      <c r="AA2" s="78">
        <v>2004</v>
      </c>
      <c r="AB2" s="78" t="s">
        <v>5</v>
      </c>
      <c r="AC2" s="78" t="s">
        <v>6</v>
      </c>
      <c r="AD2" s="78">
        <v>2001</v>
      </c>
      <c r="AE2" s="78" t="s">
        <v>7</v>
      </c>
      <c r="AF2" s="78" t="s">
        <v>8</v>
      </c>
      <c r="AG2" s="78" t="s">
        <v>9</v>
      </c>
      <c r="AH2" s="78" t="s">
        <v>10</v>
      </c>
      <c r="AI2" s="78" t="s">
        <v>11</v>
      </c>
      <c r="AJ2" s="78" t="s">
        <v>12</v>
      </c>
      <c r="AK2" s="85" t="s">
        <v>27</v>
      </c>
      <c r="AL2" s="1903" t="s">
        <v>181</v>
      </c>
      <c r="AM2" s="1980"/>
      <c r="AN2" s="388" t="s">
        <v>182</v>
      </c>
      <c r="AO2" s="86">
        <v>2008</v>
      </c>
      <c r="AP2" s="86">
        <v>2007</v>
      </c>
      <c r="AQ2" s="86">
        <v>2006</v>
      </c>
      <c r="AR2" s="86">
        <v>2005</v>
      </c>
      <c r="AS2" s="86">
        <v>2004</v>
      </c>
      <c r="AT2" s="86" t="s">
        <v>5</v>
      </c>
      <c r="AU2" s="86" t="s">
        <v>6</v>
      </c>
      <c r="AV2" s="86">
        <v>2001</v>
      </c>
      <c r="AW2" s="86" t="s">
        <v>7</v>
      </c>
      <c r="AX2" s="86" t="s">
        <v>8</v>
      </c>
      <c r="AY2" s="86" t="s">
        <v>9</v>
      </c>
      <c r="AZ2" s="86" t="s">
        <v>10</v>
      </c>
      <c r="BA2" s="86" t="s">
        <v>11</v>
      </c>
      <c r="BB2" s="86" t="s">
        <v>12</v>
      </c>
      <c r="BC2" s="87" t="s">
        <v>27</v>
      </c>
      <c r="BD2" s="1978" t="s">
        <v>181</v>
      </c>
      <c r="BE2" s="1979"/>
      <c r="BF2" s="89" t="s">
        <v>182</v>
      </c>
      <c r="BG2" s="80">
        <v>2008</v>
      </c>
      <c r="BH2" s="80">
        <v>2007</v>
      </c>
      <c r="BI2" s="89">
        <v>2006</v>
      </c>
      <c r="BJ2" s="89">
        <v>2005</v>
      </c>
      <c r="BK2" s="89">
        <v>2004</v>
      </c>
      <c r="BL2" s="89" t="s">
        <v>5</v>
      </c>
      <c r="BM2" s="89" t="s">
        <v>6</v>
      </c>
      <c r="BN2" s="89">
        <v>2001</v>
      </c>
      <c r="BO2" s="89" t="s">
        <v>7</v>
      </c>
      <c r="BP2" s="89" t="s">
        <v>8</v>
      </c>
      <c r="BQ2" s="89" t="s">
        <v>9</v>
      </c>
      <c r="BR2" s="89" t="s">
        <v>10</v>
      </c>
      <c r="BS2" s="89" t="s">
        <v>11</v>
      </c>
      <c r="BT2" s="89" t="s">
        <v>12</v>
      </c>
      <c r="BU2" s="90" t="s">
        <v>27</v>
      </c>
      <c r="BV2" s="1976" t="s">
        <v>181</v>
      </c>
      <c r="BW2" s="1977"/>
      <c r="BX2" s="162" t="s">
        <v>182</v>
      </c>
      <c r="BY2" s="83">
        <v>2008</v>
      </c>
      <c r="BZ2" s="83">
        <v>2007</v>
      </c>
      <c r="CA2" s="83">
        <v>2006</v>
      </c>
      <c r="CB2" s="83">
        <v>2005</v>
      </c>
      <c r="CC2" s="83">
        <v>2004</v>
      </c>
      <c r="CD2" s="83" t="s">
        <v>5</v>
      </c>
      <c r="CE2" s="83" t="s">
        <v>6</v>
      </c>
      <c r="CF2" s="83">
        <v>2001</v>
      </c>
      <c r="CG2" s="83" t="s">
        <v>7</v>
      </c>
      <c r="CH2" s="83" t="s">
        <v>8</v>
      </c>
      <c r="CI2" s="83" t="s">
        <v>9</v>
      </c>
      <c r="CJ2" s="83" t="s">
        <v>10</v>
      </c>
      <c r="CK2" s="83" t="s">
        <v>11</v>
      </c>
      <c r="CL2" s="83" t="s">
        <v>12</v>
      </c>
      <c r="CM2" s="84" t="s">
        <v>27</v>
      </c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  <c r="FL2" s="319"/>
      <c r="FM2" s="319"/>
      <c r="FN2" s="319"/>
      <c r="FO2" s="319"/>
      <c r="FP2" s="319"/>
      <c r="FQ2" s="319"/>
      <c r="FR2" s="319"/>
      <c r="FS2" s="319"/>
      <c r="FT2" s="319"/>
      <c r="FU2" s="319"/>
      <c r="FV2" s="319"/>
      <c r="FW2" s="319"/>
      <c r="FX2" s="319"/>
      <c r="FY2" s="319"/>
      <c r="FZ2" s="319"/>
      <c r="GA2" s="319"/>
      <c r="GB2" s="319"/>
      <c r="GC2" s="319"/>
      <c r="GD2" s="319"/>
      <c r="GE2" s="319"/>
      <c r="GF2" s="319"/>
      <c r="GG2" s="319"/>
      <c r="GH2" s="319"/>
      <c r="GI2" s="319"/>
      <c r="GJ2" s="319"/>
      <c r="GK2" s="319"/>
      <c r="GL2" s="319"/>
      <c r="GM2" s="319"/>
      <c r="GN2" s="319"/>
      <c r="GO2" s="319"/>
      <c r="GP2" s="319"/>
      <c r="GQ2" s="319"/>
      <c r="GR2" s="319"/>
      <c r="GS2" s="319"/>
      <c r="GT2" s="319"/>
      <c r="GU2" s="319"/>
      <c r="GV2" s="319"/>
      <c r="GW2" s="319"/>
      <c r="GX2" s="319"/>
      <c r="GY2" s="319"/>
      <c r="GZ2" s="319"/>
      <c r="HA2" s="319"/>
      <c r="HB2" s="319"/>
    </row>
    <row r="3" spans="1:210" s="1690" customFormat="1" ht="20.25" customHeight="1" thickBot="1">
      <c r="A3" s="602"/>
      <c r="B3" s="299">
        <v>2007</v>
      </c>
      <c r="C3" s="291" t="s">
        <v>26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300"/>
      <c r="T3" s="299">
        <v>2007</v>
      </c>
      <c r="U3" s="291" t="s">
        <v>26</v>
      </c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300"/>
      <c r="AL3" s="299">
        <v>2007</v>
      </c>
      <c r="AM3" s="291" t="s">
        <v>26</v>
      </c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606"/>
      <c r="BD3" s="299">
        <v>2007</v>
      </c>
      <c r="BE3" s="291" t="s">
        <v>26</v>
      </c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300"/>
      <c r="BV3" s="299">
        <v>2007</v>
      </c>
      <c r="BW3" s="291" t="s">
        <v>26</v>
      </c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300"/>
      <c r="CN3" s="534"/>
      <c r="CO3" s="534"/>
      <c r="CP3" s="534"/>
      <c r="CQ3" s="534"/>
      <c r="CR3" s="534"/>
      <c r="CS3" s="534"/>
      <c r="CT3" s="534"/>
      <c r="CU3" s="534"/>
      <c r="CV3" s="534"/>
      <c r="CW3" s="534"/>
      <c r="CX3" s="534"/>
      <c r="CY3" s="534"/>
      <c r="CZ3" s="534"/>
      <c r="DA3" s="534"/>
      <c r="DB3" s="534"/>
      <c r="DC3" s="534"/>
      <c r="DD3" s="534"/>
      <c r="DE3" s="534"/>
      <c r="DF3" s="534"/>
      <c r="DG3" s="534"/>
      <c r="DH3" s="534"/>
      <c r="DI3" s="534"/>
      <c r="DJ3" s="534"/>
      <c r="DK3" s="534"/>
      <c r="DL3" s="534"/>
      <c r="DM3" s="534"/>
      <c r="DN3" s="534"/>
      <c r="DO3" s="534"/>
      <c r="DP3" s="534"/>
      <c r="DQ3" s="534"/>
      <c r="DR3" s="534"/>
      <c r="DS3" s="534"/>
      <c r="DT3" s="534"/>
      <c r="DU3" s="534"/>
      <c r="DV3" s="534"/>
      <c r="DW3" s="534"/>
      <c r="DX3" s="534"/>
      <c r="DY3" s="534"/>
      <c r="DZ3" s="534"/>
      <c r="EA3" s="534"/>
      <c r="EB3" s="534"/>
      <c r="EC3" s="534"/>
      <c r="ED3" s="534"/>
      <c r="EE3" s="534"/>
      <c r="EF3" s="534"/>
      <c r="EG3" s="534"/>
      <c r="EH3" s="534"/>
      <c r="EI3" s="534"/>
      <c r="EJ3" s="534"/>
      <c r="EK3" s="534"/>
      <c r="EL3" s="534"/>
      <c r="EM3" s="534"/>
      <c r="EN3" s="534"/>
      <c r="EO3" s="534"/>
      <c r="EP3" s="534"/>
      <c r="EQ3" s="534"/>
      <c r="ER3" s="534"/>
      <c r="ES3" s="534"/>
      <c r="ET3" s="534"/>
      <c r="EU3" s="534"/>
      <c r="EV3" s="534"/>
      <c r="EW3" s="534"/>
      <c r="EX3" s="534"/>
      <c r="EY3" s="534"/>
      <c r="EZ3" s="534"/>
      <c r="FA3" s="534"/>
      <c r="FB3" s="534"/>
      <c r="FC3" s="534"/>
      <c r="FD3" s="534"/>
      <c r="FE3" s="534"/>
      <c r="FF3" s="534"/>
      <c r="FG3" s="534"/>
      <c r="FH3" s="534"/>
      <c r="FI3" s="534"/>
      <c r="FJ3" s="534"/>
      <c r="FK3" s="534"/>
      <c r="FL3" s="534"/>
      <c r="FM3" s="534"/>
      <c r="FN3" s="534"/>
      <c r="FO3" s="534"/>
      <c r="FP3" s="534"/>
      <c r="FQ3" s="534"/>
      <c r="FR3" s="534"/>
      <c r="FS3" s="534"/>
      <c r="FT3" s="534"/>
      <c r="FU3" s="534"/>
      <c r="FV3" s="534"/>
      <c r="FW3" s="534"/>
      <c r="FX3" s="534"/>
      <c r="FY3" s="534"/>
      <c r="FZ3" s="534"/>
      <c r="GA3" s="534"/>
      <c r="GB3" s="534"/>
      <c r="GC3" s="534"/>
      <c r="GD3" s="534"/>
      <c r="GE3" s="534"/>
      <c r="GF3" s="534"/>
      <c r="GG3" s="534"/>
      <c r="GH3" s="534"/>
      <c r="GI3" s="534"/>
      <c r="GJ3" s="534"/>
      <c r="GK3" s="534"/>
      <c r="GL3" s="534"/>
      <c r="GM3" s="534"/>
      <c r="GN3" s="534"/>
      <c r="GO3" s="534"/>
      <c r="GP3" s="534"/>
      <c r="GQ3" s="534"/>
      <c r="GR3" s="534"/>
      <c r="GS3" s="534"/>
      <c r="GT3" s="534"/>
      <c r="GU3" s="534"/>
      <c r="GV3" s="534"/>
      <c r="GW3" s="534"/>
      <c r="GX3" s="534"/>
      <c r="GY3" s="534"/>
      <c r="GZ3" s="534"/>
      <c r="HA3" s="534"/>
      <c r="HB3" s="534"/>
    </row>
    <row r="4" spans="1:210" s="543" customFormat="1" ht="11.25">
      <c r="A4" s="81" t="s">
        <v>13</v>
      </c>
      <c r="B4" s="717">
        <f aca="true" t="shared" si="0" ref="B4:B9">SUM(E4-F4)/F4</f>
        <v>-0.046259426757631256</v>
      </c>
      <c r="C4" s="718">
        <f aca="true" t="shared" si="1" ref="C4:C9">SUM(E4-D4)/D4</f>
        <v>0.08306517269133383</v>
      </c>
      <c r="D4" s="719">
        <f>AVERAGE(F4:J4)</f>
        <v>317182.39</v>
      </c>
      <c r="E4" s="719">
        <v>343529.2</v>
      </c>
      <c r="F4" s="719">
        <v>360191.45</v>
      </c>
      <c r="G4" s="719">
        <v>321696.7</v>
      </c>
      <c r="H4" s="1189">
        <v>298435.35</v>
      </c>
      <c r="I4" s="719">
        <v>340907.8</v>
      </c>
      <c r="J4" s="719">
        <v>264680.65</v>
      </c>
      <c r="K4" s="719">
        <v>210394.25</v>
      </c>
      <c r="L4" s="719">
        <v>201491.75</v>
      </c>
      <c r="M4" s="719">
        <v>185913.65</v>
      </c>
      <c r="N4" s="719">
        <v>132118.15</v>
      </c>
      <c r="O4" s="719">
        <v>116863.55</v>
      </c>
      <c r="P4" s="719">
        <v>115349</v>
      </c>
      <c r="Q4" s="719">
        <v>96275.55</v>
      </c>
      <c r="R4" s="719">
        <v>113898.8</v>
      </c>
      <c r="S4" s="1192">
        <v>93263.75</v>
      </c>
      <c r="T4" s="1195">
        <f aca="true" t="shared" si="2" ref="T4:T9">SUM(W4-X4)/X4</f>
        <v>0.1889888755617972</v>
      </c>
      <c r="U4" s="510">
        <f aca="true" t="shared" si="3" ref="U4:U9">SUM(W4-V4)/V4</f>
        <v>0.44857874553945676</v>
      </c>
      <c r="V4" s="511">
        <f>AVERAGE(X4:AB4)</f>
        <v>102134.42</v>
      </c>
      <c r="W4" s="511">
        <v>147949.75</v>
      </c>
      <c r="X4" s="511">
        <v>124433.25</v>
      </c>
      <c r="Y4" s="511">
        <v>100408.25</v>
      </c>
      <c r="Z4" s="1298">
        <v>83252.25</v>
      </c>
      <c r="AA4" s="511">
        <v>97093.25</v>
      </c>
      <c r="AB4" s="511">
        <v>105485.1</v>
      </c>
      <c r="AC4" s="511">
        <v>83122.55</v>
      </c>
      <c r="AD4" s="511">
        <v>82384.4</v>
      </c>
      <c r="AE4" s="511">
        <v>73881.05</v>
      </c>
      <c r="AF4" s="511">
        <v>57550.2</v>
      </c>
      <c r="AG4" s="511">
        <v>61184.85</v>
      </c>
      <c r="AH4" s="511">
        <v>72537</v>
      </c>
      <c r="AI4" s="511">
        <v>70385.7</v>
      </c>
      <c r="AJ4" s="511">
        <v>67947</v>
      </c>
      <c r="AK4" s="1199">
        <v>52941.5</v>
      </c>
      <c r="AL4" s="965">
        <f aca="true" t="shared" si="4" ref="AL4:AL9">SUM(AO4-AP4)/AP4</f>
        <v>0.014143418608255007</v>
      </c>
      <c r="AM4" s="966">
        <f aca="true" t="shared" si="5" ref="AM4:AM9">SUM(AO4-AN4)/AN4</f>
        <v>0.1720945554269575</v>
      </c>
      <c r="AN4" s="463">
        <f aca="true" t="shared" si="6" ref="AN4:AN9">AVERAGE(AP4:AT4)</f>
        <v>419316.81</v>
      </c>
      <c r="AO4" s="463">
        <f aca="true" t="shared" si="7" ref="AO4:AO9">+E4+W4</f>
        <v>491478.95</v>
      </c>
      <c r="AP4" s="463">
        <f aca="true" t="shared" si="8" ref="AP4:AP15">+F4+X4</f>
        <v>484624.7</v>
      </c>
      <c r="AQ4" s="463">
        <f aca="true" t="shared" si="9" ref="AQ4:AQ15">+G4+Y4</f>
        <v>422104.95</v>
      </c>
      <c r="AR4" s="463">
        <f aca="true" t="shared" si="10" ref="AR4:AR15">+H4+Z4</f>
        <v>381687.6</v>
      </c>
      <c r="AS4" s="463">
        <f aca="true" t="shared" si="11" ref="AS4:AS15">+I4+AA4</f>
        <v>438001.05</v>
      </c>
      <c r="AT4" s="463">
        <f aca="true" t="shared" si="12" ref="AT4:AT15">+J4+AB4</f>
        <v>370165.75</v>
      </c>
      <c r="AU4" s="463">
        <v>293516.8</v>
      </c>
      <c r="AV4" s="463">
        <v>283876.15</v>
      </c>
      <c r="AW4" s="463">
        <v>259794.7</v>
      </c>
      <c r="AX4" s="463">
        <v>189668.35</v>
      </c>
      <c r="AY4" s="463">
        <v>178048.4</v>
      </c>
      <c r="AZ4" s="463">
        <v>187886</v>
      </c>
      <c r="BA4" s="463">
        <v>166661.25</v>
      </c>
      <c r="BB4" s="463">
        <v>181845.8</v>
      </c>
      <c r="BC4" s="715">
        <v>146205.25</v>
      </c>
      <c r="BD4" s="681">
        <f aca="true" t="shared" si="13" ref="BD4:BD9">SUM(BG4-BH4)/BH4</f>
        <v>-0.2233097542580756</v>
      </c>
      <c r="BE4" s="969">
        <f aca="true" t="shared" si="14" ref="BE4:BE9">SUM(BG4-BF4)/BF4</f>
        <v>-0.14499651924234847</v>
      </c>
      <c r="BF4" s="948">
        <f>AVERAGE(BH4:BL4)</f>
        <v>188019.41</v>
      </c>
      <c r="BG4" s="948">
        <v>160757.25</v>
      </c>
      <c r="BH4" s="948">
        <v>206977.3</v>
      </c>
      <c r="BI4" s="948">
        <v>198170.4</v>
      </c>
      <c r="BJ4" s="794">
        <v>208490.8</v>
      </c>
      <c r="BK4" s="948">
        <v>178085.9</v>
      </c>
      <c r="BL4" s="948">
        <v>148372.65</v>
      </c>
      <c r="BM4" s="948">
        <v>114719.65</v>
      </c>
      <c r="BN4" s="948">
        <v>113117.25</v>
      </c>
      <c r="BO4" s="948">
        <v>98439.8</v>
      </c>
      <c r="BP4" s="948">
        <v>79469.45</v>
      </c>
      <c r="BQ4" s="948">
        <v>60409.35</v>
      </c>
      <c r="BR4" s="948">
        <v>48154.15</v>
      </c>
      <c r="BS4" s="948">
        <v>37822.75</v>
      </c>
      <c r="BT4" s="948">
        <v>43824</v>
      </c>
      <c r="BU4" s="1202">
        <v>38173.5</v>
      </c>
      <c r="BV4" s="235">
        <f aca="true" t="shared" si="15" ref="BV4:BV9">SUM(BY4-BZ4)/BZ4</f>
        <v>-0.05691973129054</v>
      </c>
      <c r="BW4" s="236">
        <f aca="true" t="shared" si="16" ref="BW4:BW9">SUM(BY4-BX4)/BX4</f>
        <v>0.07392936321169843</v>
      </c>
      <c r="BX4" s="237">
        <f aca="true" t="shared" si="17" ref="BX4:BX9">AVERAGE(BZ4:CD4)</f>
        <v>607336.22</v>
      </c>
      <c r="BY4" s="237">
        <f aca="true" t="shared" si="18" ref="BY4:CD4">+AO4+BG4</f>
        <v>652236.2</v>
      </c>
      <c r="BZ4" s="237">
        <f t="shared" si="18"/>
        <v>691602</v>
      </c>
      <c r="CA4" s="237">
        <f t="shared" si="18"/>
        <v>620275.35</v>
      </c>
      <c r="CB4" s="237">
        <f t="shared" si="18"/>
        <v>590178.3999999999</v>
      </c>
      <c r="CC4" s="237">
        <f t="shared" si="18"/>
        <v>616086.95</v>
      </c>
      <c r="CD4" s="237">
        <f t="shared" si="18"/>
        <v>518538.4</v>
      </c>
      <c r="CE4" s="237">
        <v>408236.45</v>
      </c>
      <c r="CF4" s="237">
        <v>396993.4</v>
      </c>
      <c r="CG4" s="237">
        <v>358234.5</v>
      </c>
      <c r="CH4" s="237">
        <v>269137.8</v>
      </c>
      <c r="CI4" s="237">
        <f>+AY4+BQ4</f>
        <v>238457.75</v>
      </c>
      <c r="CJ4" s="237">
        <f aca="true" t="shared" si="19" ref="CJ4:CJ15">+AZ4+BR4</f>
        <v>236040.15</v>
      </c>
      <c r="CK4" s="237">
        <v>204484</v>
      </c>
      <c r="CL4" s="237">
        <v>225669.8</v>
      </c>
      <c r="CM4" s="282">
        <v>184378.75</v>
      </c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  <c r="DN4" s="319"/>
      <c r="DO4" s="319"/>
      <c r="DP4" s="319"/>
      <c r="DQ4" s="319"/>
      <c r="DR4" s="319"/>
      <c r="DS4" s="319"/>
      <c r="DT4" s="319"/>
      <c r="DU4" s="319"/>
      <c r="DV4" s="319"/>
      <c r="DW4" s="319"/>
      <c r="DX4" s="319"/>
      <c r="DY4" s="319"/>
      <c r="DZ4" s="319"/>
      <c r="EA4" s="319"/>
      <c r="EB4" s="319"/>
      <c r="EC4" s="319"/>
      <c r="ED4" s="319"/>
      <c r="EE4" s="319"/>
      <c r="EF4" s="319"/>
      <c r="EG4" s="319"/>
      <c r="EH4" s="319"/>
      <c r="EI4" s="319"/>
      <c r="EJ4" s="319"/>
      <c r="EK4" s="319"/>
      <c r="EL4" s="319"/>
      <c r="EM4" s="319"/>
      <c r="EN4" s="319"/>
      <c r="EO4" s="319"/>
      <c r="EP4" s="319"/>
      <c r="EQ4" s="319"/>
      <c r="ER4" s="319"/>
      <c r="ES4" s="319"/>
      <c r="ET4" s="319"/>
      <c r="EU4" s="319"/>
      <c r="EV4" s="319"/>
      <c r="EW4" s="319"/>
      <c r="EX4" s="319"/>
      <c r="EY4" s="319"/>
      <c r="EZ4" s="319"/>
      <c r="FA4" s="319"/>
      <c r="FB4" s="319"/>
      <c r="FC4" s="319"/>
      <c r="FD4" s="319"/>
      <c r="FE4" s="319"/>
      <c r="FF4" s="319"/>
      <c r="FG4" s="319"/>
      <c r="FH4" s="319"/>
      <c r="FI4" s="319"/>
      <c r="FJ4" s="319"/>
      <c r="FK4" s="319"/>
      <c r="FL4" s="319"/>
      <c r="FM4" s="319"/>
      <c r="FN4" s="319"/>
      <c r="FO4" s="319"/>
      <c r="FP4" s="319"/>
      <c r="FQ4" s="319"/>
      <c r="FR4" s="319"/>
      <c r="FS4" s="319"/>
      <c r="FT4" s="319"/>
      <c r="FU4" s="319"/>
      <c r="FV4" s="319"/>
      <c r="FW4" s="319"/>
      <c r="FX4" s="319"/>
      <c r="FY4" s="319"/>
      <c r="FZ4" s="319"/>
      <c r="GA4" s="319"/>
      <c r="GB4" s="319"/>
      <c r="GC4" s="319"/>
      <c r="GD4" s="319"/>
      <c r="GE4" s="319"/>
      <c r="GF4" s="319"/>
      <c r="GG4" s="319"/>
      <c r="GH4" s="319"/>
      <c r="GI4" s="319"/>
      <c r="GJ4" s="319"/>
      <c r="GK4" s="319"/>
      <c r="GL4" s="319"/>
      <c r="GM4" s="319"/>
      <c r="GN4" s="319"/>
      <c r="GO4" s="319"/>
      <c r="GP4" s="319"/>
      <c r="GQ4" s="319"/>
      <c r="GR4" s="319"/>
      <c r="GS4" s="319"/>
      <c r="GT4" s="319"/>
      <c r="GU4" s="319"/>
      <c r="GV4" s="319"/>
      <c r="GW4" s="319"/>
      <c r="GX4" s="319"/>
      <c r="GY4" s="319"/>
      <c r="GZ4" s="319"/>
      <c r="HA4" s="319"/>
      <c r="HB4" s="319"/>
    </row>
    <row r="5" spans="1:121" s="543" customFormat="1" ht="11.25">
      <c r="A5" s="82" t="s">
        <v>14</v>
      </c>
      <c r="B5" s="506">
        <f t="shared" si="0"/>
        <v>-0.09791508709598695</v>
      </c>
      <c r="C5" s="507">
        <f t="shared" si="1"/>
        <v>0.13424263909554374</v>
      </c>
      <c r="D5" s="508">
        <f aca="true" t="shared" si="20" ref="D5:D16">AVERAGE(F5:J5)</f>
        <v>280755.57999999996</v>
      </c>
      <c r="E5" s="508">
        <v>318444.95</v>
      </c>
      <c r="F5" s="508">
        <v>353009.95</v>
      </c>
      <c r="G5" s="508">
        <v>247693</v>
      </c>
      <c r="H5" s="1190">
        <v>289415.4</v>
      </c>
      <c r="I5" s="508">
        <v>242928.3</v>
      </c>
      <c r="J5" s="508">
        <v>270731.25</v>
      </c>
      <c r="K5" s="508">
        <v>234405.15</v>
      </c>
      <c r="L5" s="508">
        <v>154024.25</v>
      </c>
      <c r="M5" s="508">
        <v>167829.75</v>
      </c>
      <c r="N5" s="508">
        <v>134281.3</v>
      </c>
      <c r="O5" s="508">
        <v>109819</v>
      </c>
      <c r="P5" s="508">
        <v>100956.55</v>
      </c>
      <c r="Q5" s="508">
        <v>87376.8</v>
      </c>
      <c r="R5" s="508">
        <v>88105.3</v>
      </c>
      <c r="S5" s="1193">
        <v>92529.35</v>
      </c>
      <c r="T5" s="1196">
        <f t="shared" si="2"/>
        <v>0.2957006038111771</v>
      </c>
      <c r="U5" s="392">
        <f t="shared" si="3"/>
        <v>0.5465840160952873</v>
      </c>
      <c r="V5" s="393">
        <f>AVERAGE(X5:AB5)</f>
        <v>99656.5</v>
      </c>
      <c r="W5" s="1290">
        <v>154127.15</v>
      </c>
      <c r="X5" s="393">
        <v>118952.75</v>
      </c>
      <c r="Y5" s="393">
        <v>96481.25</v>
      </c>
      <c r="Z5" s="858">
        <v>87297.75</v>
      </c>
      <c r="AA5" s="393">
        <v>95388.25</v>
      </c>
      <c r="AB5" s="393">
        <v>100162.5</v>
      </c>
      <c r="AC5" s="393">
        <v>92400.75</v>
      </c>
      <c r="AD5" s="393">
        <v>80339.6</v>
      </c>
      <c r="AE5" s="393">
        <v>76561.15</v>
      </c>
      <c r="AF5" s="393">
        <v>61073.55</v>
      </c>
      <c r="AG5" s="393">
        <v>66589</v>
      </c>
      <c r="AH5" s="393">
        <v>71375.5</v>
      </c>
      <c r="AI5" s="393">
        <v>63690.35</v>
      </c>
      <c r="AJ5" s="393">
        <v>64339.4</v>
      </c>
      <c r="AK5" s="1200">
        <v>54088.05</v>
      </c>
      <c r="AL5" s="389">
        <f t="shared" si="4"/>
        <v>0.001291203732837288</v>
      </c>
      <c r="AM5" s="390">
        <f t="shared" si="5"/>
        <v>0.24226365261586844</v>
      </c>
      <c r="AN5" s="76">
        <f t="shared" si="6"/>
        <v>380412.08</v>
      </c>
      <c r="AO5" s="76">
        <f t="shared" si="7"/>
        <v>472572.1</v>
      </c>
      <c r="AP5" s="76">
        <f t="shared" si="8"/>
        <v>471962.7</v>
      </c>
      <c r="AQ5" s="76">
        <f t="shared" si="9"/>
        <v>344174.25</v>
      </c>
      <c r="AR5" s="76">
        <f t="shared" si="10"/>
        <v>376713.15</v>
      </c>
      <c r="AS5" s="76">
        <f t="shared" si="11"/>
        <v>338316.55</v>
      </c>
      <c r="AT5" s="76">
        <f t="shared" si="12"/>
        <v>370893.75</v>
      </c>
      <c r="AU5" s="76">
        <v>326805.9</v>
      </c>
      <c r="AV5" s="76">
        <v>234363.85</v>
      </c>
      <c r="AW5" s="76">
        <v>244390.9</v>
      </c>
      <c r="AX5" s="76">
        <v>195354.85</v>
      </c>
      <c r="AY5" s="76">
        <v>176408</v>
      </c>
      <c r="AZ5" s="76">
        <v>172332.05</v>
      </c>
      <c r="BA5" s="76">
        <v>151067.15</v>
      </c>
      <c r="BB5" s="76">
        <v>152444.7</v>
      </c>
      <c r="BC5" s="88">
        <v>146617.4</v>
      </c>
      <c r="BD5" s="170">
        <f t="shared" si="13"/>
        <v>-0.20378293583663828</v>
      </c>
      <c r="BE5" s="37">
        <f t="shared" si="14"/>
        <v>-0.1243302677712997</v>
      </c>
      <c r="BF5" s="38">
        <f aca="true" t="shared" si="21" ref="BF5:BF16">AVERAGE(BH5:BL5)</f>
        <v>161195.02000000002</v>
      </c>
      <c r="BG5" s="38">
        <v>141153.6</v>
      </c>
      <c r="BH5" s="38">
        <v>177280.3</v>
      </c>
      <c r="BI5" s="38">
        <v>136640.7</v>
      </c>
      <c r="BJ5" s="123">
        <v>177751.9</v>
      </c>
      <c r="BK5" s="38">
        <v>144057.15</v>
      </c>
      <c r="BL5" s="38">
        <v>170245.05</v>
      </c>
      <c r="BM5" s="38">
        <v>108201.8</v>
      </c>
      <c r="BN5" s="38">
        <v>96066.95</v>
      </c>
      <c r="BO5" s="38">
        <v>92534.3</v>
      </c>
      <c r="BP5" s="38">
        <v>68423.55</v>
      </c>
      <c r="BQ5" s="38">
        <v>59255.05</v>
      </c>
      <c r="BR5" s="38">
        <v>44961</v>
      </c>
      <c r="BS5" s="38">
        <v>35251.55</v>
      </c>
      <c r="BT5" s="38">
        <v>40700.5</v>
      </c>
      <c r="BU5" s="1203">
        <v>32216.15</v>
      </c>
      <c r="BV5" s="52">
        <f t="shared" si="15"/>
        <v>-0.05470571111278835</v>
      </c>
      <c r="BW5" s="29">
        <f t="shared" si="16"/>
        <v>0.13315667390623198</v>
      </c>
      <c r="BX5" s="30">
        <f t="shared" si="17"/>
        <v>541607.1</v>
      </c>
      <c r="BY5" s="30">
        <f aca="true" t="shared" si="22" ref="BY5:BY10">+AO5+BG5</f>
        <v>613725.7</v>
      </c>
      <c r="BZ5" s="30">
        <f aca="true" t="shared" si="23" ref="BZ5:BZ10">+AP5+BH5</f>
        <v>649243</v>
      </c>
      <c r="CA5" s="30">
        <f aca="true" t="shared" si="24" ref="CA5:CA10">+AQ5+BI5</f>
        <v>480814.95</v>
      </c>
      <c r="CB5" s="30">
        <f aca="true" t="shared" si="25" ref="CB5:CB10">+AR5+BJ5</f>
        <v>554465.05</v>
      </c>
      <c r="CC5" s="30">
        <f aca="true" t="shared" si="26" ref="CC5:CC10">+AS5+BK5</f>
        <v>482373.69999999995</v>
      </c>
      <c r="CD5" s="30">
        <f aca="true" t="shared" si="27" ref="CD5:CD10">+AT5+BL5</f>
        <v>541138.8</v>
      </c>
      <c r="CE5" s="30">
        <v>435007.7</v>
      </c>
      <c r="CF5" s="30">
        <v>330430.8</v>
      </c>
      <c r="CG5" s="30">
        <v>336925.2</v>
      </c>
      <c r="CH5" s="30">
        <v>263778.4</v>
      </c>
      <c r="CI5" s="30">
        <v>235663.05</v>
      </c>
      <c r="CJ5" s="30">
        <f t="shared" si="19"/>
        <v>217293.05</v>
      </c>
      <c r="CK5" s="30">
        <v>186318.7</v>
      </c>
      <c r="CL5" s="30">
        <v>193145.2</v>
      </c>
      <c r="CM5" s="77">
        <v>178833.55</v>
      </c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</row>
    <row r="6" spans="1:121" s="543" customFormat="1" ht="11.25">
      <c r="A6" s="82" t="s">
        <v>15</v>
      </c>
      <c r="B6" s="506">
        <f t="shared" si="0"/>
        <v>-0.07013871150275879</v>
      </c>
      <c r="C6" s="507">
        <f t="shared" si="1"/>
        <v>-0.04068927221767145</v>
      </c>
      <c r="D6" s="508">
        <f t="shared" si="20"/>
        <v>308508.58999999997</v>
      </c>
      <c r="E6" s="508">
        <v>295955.6</v>
      </c>
      <c r="F6" s="508">
        <v>318279.3</v>
      </c>
      <c r="G6" s="508">
        <v>340793.55</v>
      </c>
      <c r="H6" s="508">
        <v>255389.6</v>
      </c>
      <c r="I6" s="508">
        <v>334547.75</v>
      </c>
      <c r="J6" s="508">
        <v>293532.75</v>
      </c>
      <c r="K6" s="508">
        <v>218698</v>
      </c>
      <c r="L6" s="508">
        <v>206780.1</v>
      </c>
      <c r="M6" s="508">
        <v>180682.35</v>
      </c>
      <c r="N6" s="508">
        <v>133887</v>
      </c>
      <c r="O6" s="508">
        <v>142929.1</v>
      </c>
      <c r="P6" s="508">
        <v>102389</v>
      </c>
      <c r="Q6" s="508">
        <v>82048.45</v>
      </c>
      <c r="R6" s="508">
        <v>106125</v>
      </c>
      <c r="S6" s="1193">
        <v>85391.7</v>
      </c>
      <c r="T6" s="1196">
        <f t="shared" si="2"/>
        <v>0.21129697547593404</v>
      </c>
      <c r="U6" s="392">
        <f t="shared" si="3"/>
        <v>0.3227711566799684</v>
      </c>
      <c r="V6" s="393">
        <f aca="true" t="shared" si="28" ref="V6:V16">AVERAGE(X6:AB6)</f>
        <v>117163.35</v>
      </c>
      <c r="W6" s="393">
        <v>154980.3</v>
      </c>
      <c r="X6" s="393">
        <v>127945.75</v>
      </c>
      <c r="Y6" s="393">
        <v>128240.5</v>
      </c>
      <c r="Z6" s="393">
        <v>107452.5</v>
      </c>
      <c r="AA6" s="393">
        <v>115026</v>
      </c>
      <c r="AB6" s="393">
        <v>107152</v>
      </c>
      <c r="AC6" s="393">
        <v>92662</v>
      </c>
      <c r="AD6" s="393">
        <v>88237.8</v>
      </c>
      <c r="AE6" s="393">
        <v>82893.05</v>
      </c>
      <c r="AF6" s="393">
        <v>68857.1</v>
      </c>
      <c r="AG6" s="393">
        <v>76610.2</v>
      </c>
      <c r="AH6" s="393">
        <v>83445.75</v>
      </c>
      <c r="AI6" s="393">
        <v>71969.1</v>
      </c>
      <c r="AJ6" s="393">
        <v>75952.5</v>
      </c>
      <c r="AK6" s="1200">
        <v>62931.75</v>
      </c>
      <c r="AL6" s="389">
        <f t="shared" si="4"/>
        <v>0.01055711686289234</v>
      </c>
      <c r="AM6" s="390">
        <f t="shared" si="5"/>
        <v>0.05935077609296939</v>
      </c>
      <c r="AN6" s="76">
        <f t="shared" si="6"/>
        <v>425671.94000000006</v>
      </c>
      <c r="AO6" s="76">
        <f t="shared" si="7"/>
        <v>450935.89999999997</v>
      </c>
      <c r="AP6" s="76">
        <f t="shared" si="8"/>
        <v>446225.05</v>
      </c>
      <c r="AQ6" s="76">
        <f t="shared" si="9"/>
        <v>469034.05</v>
      </c>
      <c r="AR6" s="76">
        <f t="shared" si="10"/>
        <v>362842.1</v>
      </c>
      <c r="AS6" s="76">
        <f t="shared" si="11"/>
        <v>449573.75</v>
      </c>
      <c r="AT6" s="76">
        <f t="shared" si="12"/>
        <v>400684.75</v>
      </c>
      <c r="AU6" s="76">
        <v>311360</v>
      </c>
      <c r="AV6" s="76">
        <v>295017.9</v>
      </c>
      <c r="AW6" s="76">
        <v>263575.4</v>
      </c>
      <c r="AX6" s="76">
        <v>202744.1</v>
      </c>
      <c r="AY6" s="76">
        <v>219539.3</v>
      </c>
      <c r="AZ6" s="76">
        <v>185834.75</v>
      </c>
      <c r="BA6" s="76">
        <v>154017.55</v>
      </c>
      <c r="BB6" s="76">
        <v>182077.5</v>
      </c>
      <c r="BC6" s="88">
        <v>148323.45</v>
      </c>
      <c r="BD6" s="170">
        <f t="shared" si="13"/>
        <v>-0.27611925268664733</v>
      </c>
      <c r="BE6" s="37">
        <f t="shared" si="14"/>
        <v>-0.2381025768094311</v>
      </c>
      <c r="BF6" s="38">
        <f t="shared" si="21"/>
        <v>174547.24999999997</v>
      </c>
      <c r="BG6" s="38">
        <v>132987.1</v>
      </c>
      <c r="BH6" s="38">
        <v>183714.1</v>
      </c>
      <c r="BI6" s="38">
        <v>201915.75</v>
      </c>
      <c r="BJ6" s="38">
        <v>162177.3</v>
      </c>
      <c r="BK6" s="38">
        <v>162042.6</v>
      </c>
      <c r="BL6" s="38">
        <v>162886.5</v>
      </c>
      <c r="BM6" s="38">
        <v>125206</v>
      </c>
      <c r="BN6" s="38">
        <v>106617.6</v>
      </c>
      <c r="BO6" s="38">
        <v>93691.9</v>
      </c>
      <c r="BP6" s="38">
        <v>72945.35</v>
      </c>
      <c r="BQ6" s="38">
        <v>55425.55</v>
      </c>
      <c r="BR6" s="38">
        <v>44327.35</v>
      </c>
      <c r="BS6" s="38">
        <v>41006.35</v>
      </c>
      <c r="BT6" s="38">
        <v>38134.5</v>
      </c>
      <c r="BU6" s="1203">
        <v>39394.8</v>
      </c>
      <c r="BV6" s="52">
        <f t="shared" si="15"/>
        <v>-0.07304856350014127</v>
      </c>
      <c r="BW6" s="29">
        <f t="shared" si="16"/>
        <v>-0.027150398173707273</v>
      </c>
      <c r="BX6" s="30">
        <f t="shared" si="17"/>
        <v>600219.1900000001</v>
      </c>
      <c r="BY6" s="30">
        <f t="shared" si="22"/>
        <v>583923</v>
      </c>
      <c r="BZ6" s="30">
        <f t="shared" si="23"/>
        <v>629939.15</v>
      </c>
      <c r="CA6" s="30">
        <f t="shared" si="24"/>
        <v>670949.8</v>
      </c>
      <c r="CB6" s="30">
        <f t="shared" si="25"/>
        <v>525019.3999999999</v>
      </c>
      <c r="CC6" s="30">
        <f t="shared" si="26"/>
        <v>611616.35</v>
      </c>
      <c r="CD6" s="30">
        <f t="shared" si="27"/>
        <v>563571.25</v>
      </c>
      <c r="CE6" s="30">
        <v>436566</v>
      </c>
      <c r="CF6" s="30">
        <v>401635.5</v>
      </c>
      <c r="CG6" s="30">
        <v>357267.3</v>
      </c>
      <c r="CH6" s="30">
        <v>275689.45</v>
      </c>
      <c r="CI6" s="30">
        <v>274964.85</v>
      </c>
      <c r="CJ6" s="30">
        <f t="shared" si="19"/>
        <v>230162.1</v>
      </c>
      <c r="CK6" s="30">
        <v>195023.9</v>
      </c>
      <c r="CL6" s="30">
        <v>220212</v>
      </c>
      <c r="CM6" s="77">
        <v>187718.25</v>
      </c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19"/>
      <c r="DL6" s="319"/>
      <c r="DM6" s="319"/>
      <c r="DN6" s="319"/>
      <c r="DO6" s="319"/>
      <c r="DP6" s="319"/>
      <c r="DQ6" s="319"/>
    </row>
    <row r="7" spans="1:121" s="543" customFormat="1" ht="11.25">
      <c r="A7" s="82" t="s">
        <v>16</v>
      </c>
      <c r="B7" s="506">
        <f t="shared" si="0"/>
        <v>-0.10925254341162234</v>
      </c>
      <c r="C7" s="507">
        <f t="shared" si="1"/>
        <v>-0.046740300668465115</v>
      </c>
      <c r="D7" s="508">
        <f t="shared" si="20"/>
        <v>344505.70000000007</v>
      </c>
      <c r="E7" s="508">
        <v>328403.4</v>
      </c>
      <c r="F7" s="508">
        <v>368682.95</v>
      </c>
      <c r="G7" s="508">
        <v>365187.9</v>
      </c>
      <c r="H7" s="508">
        <v>329094.2</v>
      </c>
      <c r="I7" s="508">
        <v>339942.9</v>
      </c>
      <c r="J7" s="508">
        <v>319620.55</v>
      </c>
      <c r="K7" s="508">
        <v>258026.4</v>
      </c>
      <c r="L7" s="508">
        <v>210723.05</v>
      </c>
      <c r="M7" s="508">
        <v>211262.3</v>
      </c>
      <c r="N7" s="508">
        <v>146258.45</v>
      </c>
      <c r="O7" s="508">
        <v>141028</v>
      </c>
      <c r="P7" s="508">
        <v>117035.2</v>
      </c>
      <c r="Q7" s="508">
        <v>95875.55</v>
      </c>
      <c r="R7" s="508">
        <v>112695.25</v>
      </c>
      <c r="S7" s="1193">
        <v>97604.45</v>
      </c>
      <c r="T7" s="1196">
        <f t="shared" si="2"/>
        <v>0.19481186879971402</v>
      </c>
      <c r="U7" s="392">
        <f t="shared" si="3"/>
        <v>0.35259460861503134</v>
      </c>
      <c r="V7" s="393">
        <f t="shared" si="28"/>
        <v>108721.6</v>
      </c>
      <c r="W7" s="393">
        <v>147056.25</v>
      </c>
      <c r="X7" s="393">
        <v>123079</v>
      </c>
      <c r="Y7" s="393">
        <v>113398.75</v>
      </c>
      <c r="Z7" s="393">
        <v>107048.5</v>
      </c>
      <c r="AA7" s="393">
        <v>102541</v>
      </c>
      <c r="AB7" s="393">
        <v>97540.75</v>
      </c>
      <c r="AC7" s="393">
        <v>91114.35</v>
      </c>
      <c r="AD7" s="393">
        <v>88057.15</v>
      </c>
      <c r="AE7" s="393">
        <v>85232.4</v>
      </c>
      <c r="AF7" s="393">
        <v>63470.25</v>
      </c>
      <c r="AG7" s="393">
        <v>71112</v>
      </c>
      <c r="AH7" s="393">
        <v>77211.2</v>
      </c>
      <c r="AI7" s="393">
        <v>67039.65</v>
      </c>
      <c r="AJ7" s="393">
        <v>72937.3</v>
      </c>
      <c r="AK7" s="1200">
        <v>60321.3</v>
      </c>
      <c r="AL7" s="389">
        <f t="shared" si="4"/>
        <v>-0.03315079582712731</v>
      </c>
      <c r="AM7" s="390">
        <f t="shared" si="5"/>
        <v>0.04905342198053832</v>
      </c>
      <c r="AN7" s="76">
        <f t="shared" si="6"/>
        <v>453227.3</v>
      </c>
      <c r="AO7" s="76">
        <f t="shared" si="7"/>
        <v>475459.65</v>
      </c>
      <c r="AP7" s="76">
        <f t="shared" si="8"/>
        <v>491761.95</v>
      </c>
      <c r="AQ7" s="76">
        <f t="shared" si="9"/>
        <v>478586.65</v>
      </c>
      <c r="AR7" s="76">
        <f t="shared" si="10"/>
        <v>436142.7</v>
      </c>
      <c r="AS7" s="76">
        <f t="shared" si="11"/>
        <v>442483.9</v>
      </c>
      <c r="AT7" s="76">
        <f t="shared" si="12"/>
        <v>417161.3</v>
      </c>
      <c r="AU7" s="76">
        <v>349140.75</v>
      </c>
      <c r="AV7" s="76">
        <v>298780.2</v>
      </c>
      <c r="AW7" s="76">
        <v>296494.7</v>
      </c>
      <c r="AX7" s="76">
        <v>209728.7</v>
      </c>
      <c r="AY7" s="76">
        <v>212140</v>
      </c>
      <c r="AZ7" s="76">
        <v>194246.4</v>
      </c>
      <c r="BA7" s="76">
        <v>162915.2</v>
      </c>
      <c r="BB7" s="76">
        <v>185632.55</v>
      </c>
      <c r="BC7" s="88">
        <v>157925.75</v>
      </c>
      <c r="BD7" s="170">
        <f t="shared" si="13"/>
        <v>-0.30808966482929584</v>
      </c>
      <c r="BE7" s="37">
        <f t="shared" si="14"/>
        <v>-0.30090314894098474</v>
      </c>
      <c r="BF7" s="38">
        <f t="shared" si="21"/>
        <v>185963.79</v>
      </c>
      <c r="BG7" s="38">
        <v>130006.7</v>
      </c>
      <c r="BH7" s="38">
        <v>187895.3</v>
      </c>
      <c r="BI7" s="38">
        <v>194806.95</v>
      </c>
      <c r="BJ7" s="38">
        <v>200830.05</v>
      </c>
      <c r="BK7" s="38">
        <v>174413.15</v>
      </c>
      <c r="BL7" s="38">
        <v>171873.5</v>
      </c>
      <c r="BM7" s="38">
        <v>135158.5</v>
      </c>
      <c r="BN7" s="38">
        <v>118640.6</v>
      </c>
      <c r="BO7" s="38">
        <v>110537</v>
      </c>
      <c r="BP7" s="38">
        <v>73017.4</v>
      </c>
      <c r="BQ7" s="38">
        <v>61854.15</v>
      </c>
      <c r="BR7" s="38">
        <v>47274.15</v>
      </c>
      <c r="BS7" s="38">
        <v>42739.45</v>
      </c>
      <c r="BT7" s="38">
        <v>41301.75</v>
      </c>
      <c r="BU7" s="1203">
        <v>37403.7</v>
      </c>
      <c r="BV7" s="52">
        <f t="shared" si="15"/>
        <v>-0.10915928580177733</v>
      </c>
      <c r="BW7" s="29">
        <f t="shared" si="16"/>
        <v>-0.052761592781276255</v>
      </c>
      <c r="BX7" s="30">
        <f t="shared" si="17"/>
        <v>639191.0900000001</v>
      </c>
      <c r="BY7" s="30">
        <f t="shared" si="22"/>
        <v>605466.35</v>
      </c>
      <c r="BZ7" s="30">
        <f t="shared" si="23"/>
        <v>679657.25</v>
      </c>
      <c r="CA7" s="30">
        <f t="shared" si="24"/>
        <v>673393.6000000001</v>
      </c>
      <c r="CB7" s="30">
        <f t="shared" si="25"/>
        <v>636972.75</v>
      </c>
      <c r="CC7" s="30">
        <f t="shared" si="26"/>
        <v>616897.05</v>
      </c>
      <c r="CD7" s="30">
        <f t="shared" si="27"/>
        <v>589034.8</v>
      </c>
      <c r="CE7" s="30">
        <v>484299.25</v>
      </c>
      <c r="CF7" s="30">
        <v>417420.8</v>
      </c>
      <c r="CG7" s="30">
        <v>407031.7</v>
      </c>
      <c r="CH7" s="30">
        <v>282746.1</v>
      </c>
      <c r="CI7" s="30">
        <v>273994.15</v>
      </c>
      <c r="CJ7" s="30">
        <f t="shared" si="19"/>
        <v>241520.55</v>
      </c>
      <c r="CK7" s="30">
        <v>205654.65</v>
      </c>
      <c r="CL7" s="30">
        <v>226934.3</v>
      </c>
      <c r="CM7" s="77">
        <v>195329.45</v>
      </c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</row>
    <row r="8" spans="1:121" s="543" customFormat="1" ht="11.25">
      <c r="A8" s="82" t="s">
        <v>17</v>
      </c>
      <c r="B8" s="506">
        <f t="shared" si="0"/>
        <v>0.02583449791191493</v>
      </c>
      <c r="C8" s="507">
        <f t="shared" si="1"/>
        <v>0.06691593111846961</v>
      </c>
      <c r="D8" s="508">
        <f t="shared" si="20"/>
        <v>347756.49999999994</v>
      </c>
      <c r="E8" s="508">
        <v>371026.95</v>
      </c>
      <c r="F8" s="508">
        <v>361683.05</v>
      </c>
      <c r="G8" s="508">
        <v>362494.6</v>
      </c>
      <c r="H8" s="508">
        <v>313026.85</v>
      </c>
      <c r="I8" s="508">
        <v>361413.3</v>
      </c>
      <c r="J8" s="508">
        <v>340164.7</v>
      </c>
      <c r="K8" s="508">
        <v>274449.3</v>
      </c>
      <c r="L8" s="508">
        <v>203241.95</v>
      </c>
      <c r="M8" s="508">
        <v>204191.85</v>
      </c>
      <c r="N8" s="508">
        <v>175535.2</v>
      </c>
      <c r="O8" s="508">
        <v>155898.05</v>
      </c>
      <c r="P8" s="508">
        <v>123100.3</v>
      </c>
      <c r="Q8" s="508">
        <v>103847.85</v>
      </c>
      <c r="R8" s="508">
        <v>105013.05</v>
      </c>
      <c r="S8" s="1193">
        <v>110570.55</v>
      </c>
      <c r="T8" s="1196">
        <f t="shared" si="2"/>
        <v>0.2211563868864417</v>
      </c>
      <c r="U8" s="392">
        <f t="shared" si="3"/>
        <v>0.46055189862599544</v>
      </c>
      <c r="V8" s="393">
        <f t="shared" si="28"/>
        <v>112328.6</v>
      </c>
      <c r="W8" s="393">
        <v>164061.75</v>
      </c>
      <c r="X8" s="393">
        <v>134349.5</v>
      </c>
      <c r="Y8" s="393">
        <v>118907.25</v>
      </c>
      <c r="Z8" s="393">
        <v>105220.25</v>
      </c>
      <c r="AA8" s="393">
        <v>100912.5</v>
      </c>
      <c r="AB8" s="393">
        <v>102253.5</v>
      </c>
      <c r="AC8" s="393">
        <v>96684.7</v>
      </c>
      <c r="AD8" s="393">
        <v>87323.5</v>
      </c>
      <c r="AE8" s="393">
        <v>81592</v>
      </c>
      <c r="AF8" s="393">
        <v>70211</v>
      </c>
      <c r="AG8" s="393">
        <v>68261</v>
      </c>
      <c r="AH8" s="393">
        <v>76327.25</v>
      </c>
      <c r="AI8" s="393">
        <v>60772.15</v>
      </c>
      <c r="AJ8" s="393">
        <v>71872.1</v>
      </c>
      <c r="AK8" s="1200">
        <v>62282.4</v>
      </c>
      <c r="AL8" s="389">
        <f t="shared" si="4"/>
        <v>0.07873707078295561</v>
      </c>
      <c r="AM8" s="390">
        <f t="shared" si="5"/>
        <v>0.1630211454359204</v>
      </c>
      <c r="AN8" s="76">
        <f t="shared" si="6"/>
        <v>460085.1</v>
      </c>
      <c r="AO8" s="76">
        <f t="shared" si="7"/>
        <v>535088.7</v>
      </c>
      <c r="AP8" s="76">
        <f t="shared" si="8"/>
        <v>496032.55</v>
      </c>
      <c r="AQ8" s="76">
        <f t="shared" si="9"/>
        <v>481401.85</v>
      </c>
      <c r="AR8" s="76">
        <f t="shared" si="10"/>
        <v>418247.1</v>
      </c>
      <c r="AS8" s="76">
        <f t="shared" si="11"/>
        <v>462325.8</v>
      </c>
      <c r="AT8" s="76">
        <f t="shared" si="12"/>
        <v>442418.2</v>
      </c>
      <c r="AU8" s="76">
        <v>371134</v>
      </c>
      <c r="AV8" s="76">
        <v>290565.45</v>
      </c>
      <c r="AW8" s="76">
        <v>285783.85</v>
      </c>
      <c r="AX8" s="76">
        <v>245746.2</v>
      </c>
      <c r="AY8" s="76">
        <v>224159.05</v>
      </c>
      <c r="AZ8" s="76">
        <v>199427.55</v>
      </c>
      <c r="BA8" s="76">
        <v>164620</v>
      </c>
      <c r="BB8" s="76">
        <v>176885.15</v>
      </c>
      <c r="BC8" s="88">
        <v>172852.95</v>
      </c>
      <c r="BD8" s="170">
        <f t="shared" si="13"/>
        <v>-0.1819445642330415</v>
      </c>
      <c r="BE8" s="37">
        <f t="shared" si="14"/>
        <v>-0.24153947409126753</v>
      </c>
      <c r="BF8" s="38">
        <f t="shared" si="21"/>
        <v>200088.33</v>
      </c>
      <c r="BG8" s="38">
        <v>151759.1</v>
      </c>
      <c r="BH8" s="38">
        <v>185512</v>
      </c>
      <c r="BI8" s="38">
        <v>214551.45</v>
      </c>
      <c r="BJ8" s="38">
        <v>192376.8</v>
      </c>
      <c r="BK8" s="38">
        <v>198513.35</v>
      </c>
      <c r="BL8" s="38">
        <v>209488.05</v>
      </c>
      <c r="BM8" s="38">
        <v>160080.2</v>
      </c>
      <c r="BN8" s="38">
        <v>109445.7</v>
      </c>
      <c r="BO8" s="38">
        <v>122250.95</v>
      </c>
      <c r="BP8" s="38">
        <v>90214.5</v>
      </c>
      <c r="BQ8" s="38">
        <v>76423.55</v>
      </c>
      <c r="BR8" s="38">
        <v>51775.6</v>
      </c>
      <c r="BS8" s="38">
        <v>45510.2</v>
      </c>
      <c r="BT8" s="38">
        <v>35174.35</v>
      </c>
      <c r="BU8" s="1203">
        <v>39467.7</v>
      </c>
      <c r="BV8" s="52">
        <f t="shared" si="15"/>
        <v>0.007781222812213645</v>
      </c>
      <c r="BW8" s="29">
        <f t="shared" si="16"/>
        <v>0.0404050947642652</v>
      </c>
      <c r="BX8" s="30">
        <f t="shared" si="17"/>
        <v>660173.4299999999</v>
      </c>
      <c r="BY8" s="30">
        <f t="shared" si="22"/>
        <v>686847.7999999999</v>
      </c>
      <c r="BZ8" s="30">
        <f t="shared" si="23"/>
        <v>681544.55</v>
      </c>
      <c r="CA8" s="30">
        <f t="shared" si="24"/>
        <v>695953.3</v>
      </c>
      <c r="CB8" s="30">
        <f t="shared" si="25"/>
        <v>610623.8999999999</v>
      </c>
      <c r="CC8" s="30">
        <f t="shared" si="26"/>
        <v>660839.15</v>
      </c>
      <c r="CD8" s="30">
        <f t="shared" si="27"/>
        <v>651906.25</v>
      </c>
      <c r="CE8" s="30">
        <v>531214.2</v>
      </c>
      <c r="CF8" s="30">
        <v>400011.15</v>
      </c>
      <c r="CG8" s="30">
        <v>408034.8</v>
      </c>
      <c r="CH8" s="30">
        <v>335960.7</v>
      </c>
      <c r="CI8" s="30">
        <v>300582.6</v>
      </c>
      <c r="CJ8" s="30">
        <f t="shared" si="19"/>
        <v>251203.15</v>
      </c>
      <c r="CK8" s="30">
        <v>210130.2</v>
      </c>
      <c r="CL8" s="30">
        <v>212059.5</v>
      </c>
      <c r="CM8" s="77">
        <v>212320.65</v>
      </c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</row>
    <row r="9" spans="1:121" s="543" customFormat="1" ht="11.25">
      <c r="A9" s="82" t="s">
        <v>18</v>
      </c>
      <c r="B9" s="506">
        <f t="shared" si="0"/>
        <v>-0.12447784654478286</v>
      </c>
      <c r="C9" s="507">
        <f t="shared" si="1"/>
        <v>-0.028230476753957113</v>
      </c>
      <c r="D9" s="508">
        <f t="shared" si="20"/>
        <v>348953.37</v>
      </c>
      <c r="E9" s="508">
        <v>339102.25</v>
      </c>
      <c r="F9" s="508">
        <v>387314.3</v>
      </c>
      <c r="G9" s="508">
        <v>380852.5</v>
      </c>
      <c r="H9" s="508">
        <v>334823.5</v>
      </c>
      <c r="I9" s="508">
        <v>340625.2</v>
      </c>
      <c r="J9" s="508">
        <v>301151.35</v>
      </c>
      <c r="K9" s="508">
        <v>291966.3</v>
      </c>
      <c r="L9" s="508">
        <v>232201.85</v>
      </c>
      <c r="M9" s="508">
        <v>211118.6</v>
      </c>
      <c r="N9" s="508">
        <v>161750.75</v>
      </c>
      <c r="O9" s="508">
        <v>148826</v>
      </c>
      <c r="P9" s="508">
        <v>127693.25</v>
      </c>
      <c r="Q9" s="508">
        <v>107809.45</v>
      </c>
      <c r="R9" s="508">
        <v>104253.35</v>
      </c>
      <c r="S9" s="1193">
        <v>105442.65</v>
      </c>
      <c r="T9" s="1196">
        <f t="shared" si="2"/>
        <v>0.10950475679134469</v>
      </c>
      <c r="U9" s="392">
        <f t="shared" si="3"/>
        <v>0.43110067101869376</v>
      </c>
      <c r="V9" s="393">
        <f t="shared" si="28"/>
        <v>105409.88</v>
      </c>
      <c r="W9" s="393">
        <v>150852.15</v>
      </c>
      <c r="X9" s="393">
        <v>135963.5</v>
      </c>
      <c r="Y9" s="393">
        <v>115184.65</v>
      </c>
      <c r="Z9" s="393">
        <v>96659.25</v>
      </c>
      <c r="AA9" s="393">
        <v>89709.75</v>
      </c>
      <c r="AB9" s="393">
        <v>89532.25</v>
      </c>
      <c r="AC9" s="393">
        <v>95285.1</v>
      </c>
      <c r="AD9" s="393">
        <v>88133.45</v>
      </c>
      <c r="AE9" s="393">
        <v>79134.6</v>
      </c>
      <c r="AF9" s="393">
        <v>67376.65</v>
      </c>
      <c r="AG9" s="393">
        <v>64001.05</v>
      </c>
      <c r="AH9" s="393">
        <v>73399.35</v>
      </c>
      <c r="AI9" s="393">
        <v>67356.15</v>
      </c>
      <c r="AJ9" s="393">
        <v>68288.55</v>
      </c>
      <c r="AK9" s="1200">
        <v>56527.85</v>
      </c>
      <c r="AL9" s="389">
        <f t="shared" si="4"/>
        <v>-0.06368204422201738</v>
      </c>
      <c r="AM9" s="390">
        <f t="shared" si="5"/>
        <v>0.07833192935388156</v>
      </c>
      <c r="AN9" s="76">
        <f t="shared" si="6"/>
        <v>454363.25</v>
      </c>
      <c r="AO9" s="76">
        <f t="shared" si="7"/>
        <v>489954.4</v>
      </c>
      <c r="AP9" s="76">
        <f t="shared" si="8"/>
        <v>523277.8</v>
      </c>
      <c r="AQ9" s="76">
        <f t="shared" si="9"/>
        <v>496037.15</v>
      </c>
      <c r="AR9" s="76">
        <f t="shared" si="10"/>
        <v>431482.75</v>
      </c>
      <c r="AS9" s="76">
        <f t="shared" si="11"/>
        <v>430334.95</v>
      </c>
      <c r="AT9" s="76">
        <f t="shared" si="12"/>
        <v>390683.6</v>
      </c>
      <c r="AU9" s="76">
        <v>387251.4</v>
      </c>
      <c r="AV9" s="76">
        <v>320335.3</v>
      </c>
      <c r="AW9" s="76">
        <v>290253.2</v>
      </c>
      <c r="AX9" s="76">
        <v>229127.4</v>
      </c>
      <c r="AY9" s="76">
        <v>212827.05</v>
      </c>
      <c r="AZ9" s="76">
        <v>201092.6</v>
      </c>
      <c r="BA9" s="76">
        <v>175165.6</v>
      </c>
      <c r="BB9" s="76">
        <v>172541.9</v>
      </c>
      <c r="BC9" s="88">
        <v>161970.5</v>
      </c>
      <c r="BD9" s="170">
        <f t="shared" si="13"/>
        <v>-0.2621518826893362</v>
      </c>
      <c r="BE9" s="37">
        <f t="shared" si="14"/>
        <v>-0.274693266704816</v>
      </c>
      <c r="BF9" s="38">
        <f t="shared" si="21"/>
        <v>196228.28999999998</v>
      </c>
      <c r="BG9" s="38">
        <v>142325.7</v>
      </c>
      <c r="BH9" s="38">
        <v>192892.95</v>
      </c>
      <c r="BI9" s="38">
        <v>230834.35</v>
      </c>
      <c r="BJ9" s="38">
        <v>202565.7</v>
      </c>
      <c r="BK9" s="38">
        <v>181745.85</v>
      </c>
      <c r="BL9" s="38">
        <v>173102.6</v>
      </c>
      <c r="BM9" s="38">
        <v>149210.1</v>
      </c>
      <c r="BN9" s="38">
        <v>114910.05</v>
      </c>
      <c r="BO9" s="38">
        <v>112304.3</v>
      </c>
      <c r="BP9" s="38">
        <v>88039</v>
      </c>
      <c r="BQ9" s="38">
        <v>71821.55</v>
      </c>
      <c r="BR9" s="38">
        <v>45184.6</v>
      </c>
      <c r="BS9" s="38">
        <v>43971.55</v>
      </c>
      <c r="BT9" s="38">
        <v>34380.9</v>
      </c>
      <c r="BU9" s="1203">
        <v>41364.7</v>
      </c>
      <c r="BV9" s="52">
        <f t="shared" si="15"/>
        <v>-0.11713777754816139</v>
      </c>
      <c r="BW9" s="29">
        <f t="shared" si="16"/>
        <v>-0.028145831714934292</v>
      </c>
      <c r="BX9" s="30">
        <f t="shared" si="17"/>
        <v>650591.54</v>
      </c>
      <c r="BY9" s="30">
        <f t="shared" si="22"/>
        <v>632280.1000000001</v>
      </c>
      <c r="BZ9" s="30">
        <f t="shared" si="23"/>
        <v>716170.75</v>
      </c>
      <c r="CA9" s="30">
        <f t="shared" si="24"/>
        <v>726871.5</v>
      </c>
      <c r="CB9" s="30">
        <f t="shared" si="25"/>
        <v>634048.45</v>
      </c>
      <c r="CC9" s="30">
        <f t="shared" si="26"/>
        <v>612080.8</v>
      </c>
      <c r="CD9" s="30">
        <f t="shared" si="27"/>
        <v>563786.2</v>
      </c>
      <c r="CE9" s="30">
        <v>536461.5</v>
      </c>
      <c r="CF9" s="30">
        <v>435245.35</v>
      </c>
      <c r="CG9" s="30">
        <v>402557.5</v>
      </c>
      <c r="CH9" s="30">
        <v>317166.4</v>
      </c>
      <c r="CI9" s="30">
        <v>284648.6</v>
      </c>
      <c r="CJ9" s="30">
        <f t="shared" si="19"/>
        <v>246277.2</v>
      </c>
      <c r="CK9" s="30">
        <v>219137.15</v>
      </c>
      <c r="CL9" s="30">
        <v>206922.8</v>
      </c>
      <c r="CM9" s="77">
        <v>203335.2</v>
      </c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  <c r="DN9" s="319"/>
      <c r="DO9" s="319"/>
      <c r="DP9" s="319"/>
      <c r="DQ9" s="319"/>
    </row>
    <row r="10" spans="1:121" s="543" customFormat="1" ht="11.25">
      <c r="A10" s="82" t="s">
        <v>19</v>
      </c>
      <c r="B10" s="506">
        <f>SUM(E10-F10)/F10</f>
        <v>-0.03858904862705936</v>
      </c>
      <c r="C10" s="507">
        <f>SUM(E10-D10)/D10</f>
        <v>0.005370975437718806</v>
      </c>
      <c r="D10" s="508">
        <f t="shared" si="20"/>
        <v>365533.23</v>
      </c>
      <c r="E10" s="508">
        <v>367496.5</v>
      </c>
      <c r="F10" s="508">
        <v>382247.05</v>
      </c>
      <c r="G10" s="508">
        <v>404664.55</v>
      </c>
      <c r="H10" s="508">
        <v>352416.8</v>
      </c>
      <c r="I10" s="1190">
        <v>361584.3</v>
      </c>
      <c r="J10" s="508">
        <v>326753.45</v>
      </c>
      <c r="K10" s="508">
        <v>260811.15</v>
      </c>
      <c r="L10" s="508">
        <v>238957.6</v>
      </c>
      <c r="M10" s="508">
        <v>232730.4</v>
      </c>
      <c r="N10" s="508">
        <v>176444.6</v>
      </c>
      <c r="O10" s="508">
        <v>147328.7</v>
      </c>
      <c r="P10" s="508">
        <v>130480.85</v>
      </c>
      <c r="Q10" s="508">
        <v>118129.65</v>
      </c>
      <c r="R10" s="508">
        <v>114101.45</v>
      </c>
      <c r="S10" s="1193">
        <v>114376</v>
      </c>
      <c r="T10" s="1196">
        <f>SUM(W10-X10)/X10</f>
        <v>0.3399811330582387</v>
      </c>
      <c r="U10" s="392">
        <f>SUM(W10-V10)/V10</f>
        <v>0.594326911821076</v>
      </c>
      <c r="V10" s="393">
        <f t="shared" si="28"/>
        <v>108917.75</v>
      </c>
      <c r="W10" s="1290">
        <v>173650.5</v>
      </c>
      <c r="X10" s="393">
        <v>129591.75</v>
      </c>
      <c r="Y10" s="393">
        <v>124134.25</v>
      </c>
      <c r="Z10" s="393">
        <v>97547.5</v>
      </c>
      <c r="AA10" s="858">
        <v>95940.75</v>
      </c>
      <c r="AB10" s="393">
        <v>97374.5</v>
      </c>
      <c r="AC10" s="393">
        <v>83739.65</v>
      </c>
      <c r="AD10" s="393">
        <v>86878.9</v>
      </c>
      <c r="AE10" s="393">
        <v>80864.1</v>
      </c>
      <c r="AF10" s="393">
        <v>66948.15</v>
      </c>
      <c r="AG10" s="393">
        <v>61964.65</v>
      </c>
      <c r="AH10" s="393">
        <v>71622.55</v>
      </c>
      <c r="AI10" s="393">
        <v>67884.1</v>
      </c>
      <c r="AJ10" s="393">
        <v>65060.3</v>
      </c>
      <c r="AK10" s="1200">
        <v>59053.8</v>
      </c>
      <c r="AL10" s="389">
        <f>SUM(AO10-AP10)/AP10</f>
        <v>0.05726060626900503</v>
      </c>
      <c r="AM10" s="390">
        <f>SUM(AO10-AN10)/AN10</f>
        <v>0.14057515488744463</v>
      </c>
      <c r="AN10" s="76">
        <f>AVERAGE(AP10:AT10)</f>
        <v>474450.9800000001</v>
      </c>
      <c r="AO10" s="76">
        <f>+E10+W10</f>
        <v>541147</v>
      </c>
      <c r="AP10" s="76">
        <f t="shared" si="8"/>
        <v>511838.8</v>
      </c>
      <c r="AQ10" s="76">
        <f t="shared" si="9"/>
        <v>528798.8</v>
      </c>
      <c r="AR10" s="76">
        <f t="shared" si="10"/>
        <v>449964.3</v>
      </c>
      <c r="AS10" s="76">
        <f t="shared" si="11"/>
        <v>457525.05</v>
      </c>
      <c r="AT10" s="76">
        <f t="shared" si="12"/>
        <v>424127.95</v>
      </c>
      <c r="AU10" s="76">
        <v>344550.8</v>
      </c>
      <c r="AV10" s="76">
        <v>325836.5</v>
      </c>
      <c r="AW10" s="76">
        <v>313594.5</v>
      </c>
      <c r="AX10" s="76">
        <v>243392.75</v>
      </c>
      <c r="AY10" s="76">
        <v>209293.35</v>
      </c>
      <c r="AZ10" s="76">
        <v>202103.4</v>
      </c>
      <c r="BA10" s="76">
        <v>186013.75</v>
      </c>
      <c r="BB10" s="76">
        <v>179161.75</v>
      </c>
      <c r="BC10" s="88">
        <v>173429.8</v>
      </c>
      <c r="BD10" s="170">
        <f>SUM(BG10-BH10)/BH10</f>
        <v>-0.23214084856949763</v>
      </c>
      <c r="BE10" s="37">
        <f>SUM(BG10-BF10)/BF10</f>
        <v>-0.24938012978013588</v>
      </c>
      <c r="BF10" s="38">
        <f t="shared" si="21"/>
        <v>209176.85</v>
      </c>
      <c r="BG10" s="38">
        <v>157012.3</v>
      </c>
      <c r="BH10" s="38">
        <v>204480.6</v>
      </c>
      <c r="BI10" s="38">
        <v>232527.55</v>
      </c>
      <c r="BJ10" s="38">
        <v>198415.35</v>
      </c>
      <c r="BK10" s="123">
        <v>218874.4</v>
      </c>
      <c r="BL10" s="38">
        <v>191586.35</v>
      </c>
      <c r="BM10" s="38">
        <v>151139.65</v>
      </c>
      <c r="BN10" s="38">
        <v>126019.15</v>
      </c>
      <c r="BO10" s="38">
        <v>127136.6</v>
      </c>
      <c r="BP10" s="38">
        <v>86852.25</v>
      </c>
      <c r="BQ10" s="38">
        <v>70183.1</v>
      </c>
      <c r="BR10" s="38">
        <v>50461</v>
      </c>
      <c r="BS10" s="38">
        <v>45412</v>
      </c>
      <c r="BT10" s="38">
        <v>43486.85</v>
      </c>
      <c r="BU10" s="1203">
        <v>46301.45</v>
      </c>
      <c r="BV10" s="52">
        <f>SUM(BY10-BZ10)/BZ10</f>
        <v>-0.025351958916650836</v>
      </c>
      <c r="BW10" s="29">
        <f>SUM(BY10-BX10)/BX10</f>
        <v>0.0212564049652575</v>
      </c>
      <c r="BX10" s="30">
        <f>AVERAGE(BZ10:CD10)</f>
        <v>683627.8299999998</v>
      </c>
      <c r="BY10" s="30">
        <f t="shared" si="22"/>
        <v>698159.3</v>
      </c>
      <c r="BZ10" s="30">
        <f t="shared" si="23"/>
        <v>716319.4</v>
      </c>
      <c r="CA10" s="30">
        <f t="shared" si="24"/>
        <v>761326.3500000001</v>
      </c>
      <c r="CB10" s="30">
        <f t="shared" si="25"/>
        <v>648379.65</v>
      </c>
      <c r="CC10" s="30">
        <f t="shared" si="26"/>
        <v>676399.45</v>
      </c>
      <c r="CD10" s="30">
        <f t="shared" si="27"/>
        <v>615714.3</v>
      </c>
      <c r="CE10" s="30">
        <v>495690.45</v>
      </c>
      <c r="CF10" s="30">
        <v>451855.65</v>
      </c>
      <c r="CG10" s="30">
        <v>440731.1</v>
      </c>
      <c r="CH10" s="30">
        <v>330245</v>
      </c>
      <c r="CI10" s="30">
        <v>279476.45</v>
      </c>
      <c r="CJ10" s="30">
        <f t="shared" si="19"/>
        <v>252564.4</v>
      </c>
      <c r="CK10" s="30">
        <v>231425.75</v>
      </c>
      <c r="CL10" s="30">
        <v>222648.6</v>
      </c>
      <c r="CM10" s="77">
        <v>219731.25</v>
      </c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19"/>
      <c r="DJ10" s="319"/>
      <c r="DK10" s="319"/>
      <c r="DL10" s="319"/>
      <c r="DM10" s="319"/>
      <c r="DN10" s="319"/>
      <c r="DO10" s="319"/>
      <c r="DP10" s="319"/>
      <c r="DQ10" s="319"/>
    </row>
    <row r="11" spans="1:121" s="543" customFormat="1" ht="11.25">
      <c r="A11" s="82" t="s">
        <v>20</v>
      </c>
      <c r="B11" s="506"/>
      <c r="C11" s="507"/>
      <c r="D11" s="508">
        <f t="shared" si="20"/>
        <v>363284.02999999997</v>
      </c>
      <c r="E11" s="508"/>
      <c r="F11" s="508">
        <v>374225.9</v>
      </c>
      <c r="G11" s="508">
        <v>405303.05</v>
      </c>
      <c r="H11" s="508">
        <v>343029.25</v>
      </c>
      <c r="I11" s="1190">
        <v>339428.1</v>
      </c>
      <c r="J11" s="508">
        <v>354433.85</v>
      </c>
      <c r="K11" s="508">
        <v>327471.85</v>
      </c>
      <c r="L11" s="508">
        <v>252137.2</v>
      </c>
      <c r="M11" s="508">
        <v>235529.25</v>
      </c>
      <c r="N11" s="508">
        <v>180684.75</v>
      </c>
      <c r="O11" s="508">
        <v>161600.95</v>
      </c>
      <c r="P11" s="508">
        <v>132618.55</v>
      </c>
      <c r="Q11" s="508">
        <v>123216.85</v>
      </c>
      <c r="R11" s="508">
        <v>111677.7</v>
      </c>
      <c r="S11" s="1193">
        <v>120491.55</v>
      </c>
      <c r="T11" s="1196"/>
      <c r="U11" s="392"/>
      <c r="V11" s="393">
        <f t="shared" si="28"/>
        <v>105281.5</v>
      </c>
      <c r="W11" s="393"/>
      <c r="X11" s="393">
        <v>137352</v>
      </c>
      <c r="Y11" s="393">
        <v>119220.25</v>
      </c>
      <c r="Z11" s="393">
        <v>95061.25</v>
      </c>
      <c r="AA11" s="858">
        <v>86693.25</v>
      </c>
      <c r="AB11" s="393">
        <v>88080.75</v>
      </c>
      <c r="AC11" s="393">
        <v>91421.45</v>
      </c>
      <c r="AD11" s="393">
        <v>87938.95</v>
      </c>
      <c r="AE11" s="393">
        <v>87338.5</v>
      </c>
      <c r="AF11" s="393">
        <v>68901.1</v>
      </c>
      <c r="AG11" s="393">
        <v>67823.4</v>
      </c>
      <c r="AH11" s="393">
        <v>70892.1</v>
      </c>
      <c r="AI11" s="393">
        <v>72171.55</v>
      </c>
      <c r="AJ11" s="393">
        <v>70280</v>
      </c>
      <c r="AK11" s="1200">
        <v>68125.15</v>
      </c>
      <c r="AL11" s="389"/>
      <c r="AM11" s="390"/>
      <c r="AN11" s="76">
        <f aca="true" t="shared" si="29" ref="AN11:AN16">AVERAGE(AP11:AT11)</f>
        <v>468565.5300000001</v>
      </c>
      <c r="AO11" s="76"/>
      <c r="AP11" s="76">
        <f t="shared" si="8"/>
        <v>511577.9</v>
      </c>
      <c r="AQ11" s="76">
        <f t="shared" si="9"/>
        <v>524523.3</v>
      </c>
      <c r="AR11" s="76">
        <f t="shared" si="10"/>
        <v>438090.5</v>
      </c>
      <c r="AS11" s="76">
        <f t="shared" si="11"/>
        <v>426121.35</v>
      </c>
      <c r="AT11" s="76">
        <f t="shared" si="12"/>
        <v>442514.6</v>
      </c>
      <c r="AU11" s="76">
        <v>418893.3</v>
      </c>
      <c r="AV11" s="76">
        <v>340076.15</v>
      </c>
      <c r="AW11" s="76">
        <v>322867.75</v>
      </c>
      <c r="AX11" s="76">
        <v>249585.85</v>
      </c>
      <c r="AY11" s="76">
        <v>229424.35</v>
      </c>
      <c r="AZ11" s="76">
        <v>203510.75</v>
      </c>
      <c r="BA11" s="76">
        <v>195388.4</v>
      </c>
      <c r="BB11" s="76">
        <v>181957.7</v>
      </c>
      <c r="BC11" s="88">
        <v>188616.7</v>
      </c>
      <c r="BD11" s="170"/>
      <c r="BE11" s="37"/>
      <c r="BF11" s="38">
        <f t="shared" si="21"/>
        <v>218504.35</v>
      </c>
      <c r="BG11" s="38"/>
      <c r="BH11" s="38">
        <v>203132.3</v>
      </c>
      <c r="BI11" s="38">
        <v>266203.25</v>
      </c>
      <c r="BJ11" s="38">
        <v>213463.95</v>
      </c>
      <c r="BK11" s="123">
        <v>201267.45</v>
      </c>
      <c r="BL11" s="38">
        <v>208454.8</v>
      </c>
      <c r="BM11" s="38">
        <v>186600.5</v>
      </c>
      <c r="BN11" s="38">
        <v>136982.85</v>
      </c>
      <c r="BO11" s="38">
        <v>141177.05</v>
      </c>
      <c r="BP11" s="38">
        <v>98474.1</v>
      </c>
      <c r="BQ11" s="38">
        <v>83706</v>
      </c>
      <c r="BR11" s="38">
        <v>56281.95</v>
      </c>
      <c r="BS11" s="38">
        <v>54977.15</v>
      </c>
      <c r="BT11" s="38">
        <v>42859.55</v>
      </c>
      <c r="BU11" s="1203">
        <v>50569</v>
      </c>
      <c r="BV11" s="52"/>
      <c r="BW11" s="29"/>
      <c r="BX11" s="30">
        <f aca="true" t="shared" si="30" ref="BX11:BX16">AVERAGE(BZ11:CD11)</f>
        <v>687069.88</v>
      </c>
      <c r="BY11" s="30"/>
      <c r="BZ11" s="30">
        <f aca="true" t="shared" si="31" ref="BZ11:CD16">+AP11+BH11</f>
        <v>714710.2</v>
      </c>
      <c r="CA11" s="30">
        <f t="shared" si="31"/>
        <v>790726.55</v>
      </c>
      <c r="CB11" s="30">
        <f t="shared" si="31"/>
        <v>651554.45</v>
      </c>
      <c r="CC11" s="30">
        <f t="shared" si="31"/>
        <v>627388.8</v>
      </c>
      <c r="CD11" s="30">
        <f t="shared" si="31"/>
        <v>650969.3999999999</v>
      </c>
      <c r="CE11" s="30">
        <v>605493.8</v>
      </c>
      <c r="CF11" s="30">
        <v>477059</v>
      </c>
      <c r="CG11" s="30">
        <v>464044.8</v>
      </c>
      <c r="CH11" s="30">
        <v>348059.95</v>
      </c>
      <c r="CI11" s="30">
        <v>313130.35</v>
      </c>
      <c r="CJ11" s="30">
        <f t="shared" si="19"/>
        <v>259792.7</v>
      </c>
      <c r="CK11" s="30">
        <v>250365.55</v>
      </c>
      <c r="CL11" s="30">
        <v>224817.25</v>
      </c>
      <c r="CM11" s="77">
        <v>239185.7</v>
      </c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</row>
    <row r="12" spans="1:121" s="543" customFormat="1" ht="11.25">
      <c r="A12" s="82" t="s">
        <v>21</v>
      </c>
      <c r="B12" s="506"/>
      <c r="C12" s="507"/>
      <c r="D12" s="508">
        <f t="shared" si="20"/>
        <v>368135.50999999995</v>
      </c>
      <c r="E12" s="508"/>
      <c r="F12" s="508">
        <v>403658.8</v>
      </c>
      <c r="G12" s="508">
        <v>425473.75</v>
      </c>
      <c r="H12" s="508">
        <v>350754.85</v>
      </c>
      <c r="I12" s="508">
        <v>318722.15</v>
      </c>
      <c r="J12" s="508">
        <v>342068</v>
      </c>
      <c r="K12" s="508">
        <v>320577.65</v>
      </c>
      <c r="L12" s="508">
        <v>267579.75</v>
      </c>
      <c r="M12" s="508">
        <v>220572.95</v>
      </c>
      <c r="N12" s="508">
        <v>180795.8</v>
      </c>
      <c r="O12" s="508">
        <v>147914.45</v>
      </c>
      <c r="P12" s="508">
        <v>132919.35</v>
      </c>
      <c r="Q12" s="508">
        <v>123341.35</v>
      </c>
      <c r="R12" s="508">
        <v>105178.3</v>
      </c>
      <c r="S12" s="1193">
        <v>118666.45</v>
      </c>
      <c r="T12" s="1196"/>
      <c r="U12" s="392"/>
      <c r="V12" s="393">
        <f t="shared" si="28"/>
        <v>102578.39</v>
      </c>
      <c r="W12" s="393"/>
      <c r="X12" s="393">
        <v>135716.7</v>
      </c>
      <c r="Y12" s="393">
        <v>124195.75</v>
      </c>
      <c r="Z12" s="393">
        <v>92992.5</v>
      </c>
      <c r="AA12" s="393">
        <v>76129</v>
      </c>
      <c r="AB12" s="393">
        <v>83858</v>
      </c>
      <c r="AC12" s="393">
        <v>89503.25</v>
      </c>
      <c r="AD12" s="393">
        <v>81806.15</v>
      </c>
      <c r="AE12" s="393">
        <v>78539.95</v>
      </c>
      <c r="AF12" s="393">
        <v>66206.75</v>
      </c>
      <c r="AG12" s="393">
        <v>60648.2</v>
      </c>
      <c r="AH12" s="393">
        <v>65614.75</v>
      </c>
      <c r="AI12" s="393">
        <v>66293.5</v>
      </c>
      <c r="AJ12" s="393">
        <v>62230.8</v>
      </c>
      <c r="AK12" s="1200">
        <v>60279.05</v>
      </c>
      <c r="AL12" s="389"/>
      <c r="AM12" s="390"/>
      <c r="AN12" s="76">
        <f t="shared" si="29"/>
        <v>470713.9</v>
      </c>
      <c r="AO12" s="76"/>
      <c r="AP12" s="76">
        <f t="shared" si="8"/>
        <v>539375.5</v>
      </c>
      <c r="AQ12" s="76">
        <f t="shared" si="9"/>
        <v>549669.5</v>
      </c>
      <c r="AR12" s="76">
        <f t="shared" si="10"/>
        <v>443747.35</v>
      </c>
      <c r="AS12" s="76">
        <f t="shared" si="11"/>
        <v>394851.15</v>
      </c>
      <c r="AT12" s="76">
        <f t="shared" si="12"/>
        <v>425926</v>
      </c>
      <c r="AU12" s="76">
        <v>410080.9</v>
      </c>
      <c r="AV12" s="76">
        <v>349385.9</v>
      </c>
      <c r="AW12" s="76">
        <v>299112.9</v>
      </c>
      <c r="AX12" s="76">
        <v>247002.55</v>
      </c>
      <c r="AY12" s="76">
        <v>208562.65</v>
      </c>
      <c r="AZ12" s="76">
        <v>199534.1</v>
      </c>
      <c r="BA12" s="76">
        <v>189634.85</v>
      </c>
      <c r="BB12" s="76">
        <v>167409.1</v>
      </c>
      <c r="BC12" s="88">
        <v>178945.5</v>
      </c>
      <c r="BD12" s="170"/>
      <c r="BE12" s="37"/>
      <c r="BF12" s="38">
        <f t="shared" si="21"/>
        <v>211920.78000000003</v>
      </c>
      <c r="BG12" s="38"/>
      <c r="BH12" s="38">
        <v>203188</v>
      </c>
      <c r="BI12" s="38">
        <v>241935.15</v>
      </c>
      <c r="BJ12" s="38">
        <v>219747.9</v>
      </c>
      <c r="BK12" s="38">
        <v>197929.65</v>
      </c>
      <c r="BL12" s="38">
        <v>196803.2</v>
      </c>
      <c r="BM12" s="38">
        <v>179161.25</v>
      </c>
      <c r="BN12" s="38">
        <v>135268.35</v>
      </c>
      <c r="BO12" s="38">
        <v>122986.7</v>
      </c>
      <c r="BP12" s="38">
        <v>89933.15</v>
      </c>
      <c r="BQ12" s="38">
        <v>81416.55</v>
      </c>
      <c r="BR12" s="38">
        <v>58032.6</v>
      </c>
      <c r="BS12" s="38">
        <v>52484.5</v>
      </c>
      <c r="BT12" s="38">
        <v>41264.45</v>
      </c>
      <c r="BU12" s="1203">
        <v>47740.4</v>
      </c>
      <c r="BV12" s="52"/>
      <c r="BW12" s="29"/>
      <c r="BX12" s="30">
        <f t="shared" si="30"/>
        <v>682634.68</v>
      </c>
      <c r="BY12" s="30"/>
      <c r="BZ12" s="30">
        <f t="shared" si="31"/>
        <v>742563.5</v>
      </c>
      <c r="CA12" s="30">
        <f t="shared" si="31"/>
        <v>791604.65</v>
      </c>
      <c r="CB12" s="30">
        <f t="shared" si="31"/>
        <v>663495.25</v>
      </c>
      <c r="CC12" s="30">
        <f t="shared" si="31"/>
        <v>592780.8</v>
      </c>
      <c r="CD12" s="30">
        <f t="shared" si="31"/>
        <v>622729.2</v>
      </c>
      <c r="CE12" s="30">
        <v>589242.15</v>
      </c>
      <c r="CF12" s="30">
        <v>484654.25</v>
      </c>
      <c r="CG12" s="30">
        <v>422099.6</v>
      </c>
      <c r="CH12" s="30">
        <v>336935.7</v>
      </c>
      <c r="CI12" s="30">
        <v>289979.2</v>
      </c>
      <c r="CJ12" s="30">
        <f t="shared" si="19"/>
        <v>257566.7</v>
      </c>
      <c r="CK12" s="30">
        <v>242119.35</v>
      </c>
      <c r="CL12" s="30">
        <v>208673.55</v>
      </c>
      <c r="CM12" s="77">
        <v>226685.9</v>
      </c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</row>
    <row r="13" spans="1:121" s="543" customFormat="1" ht="11.25">
      <c r="A13" s="82" t="s">
        <v>22</v>
      </c>
      <c r="B13" s="506"/>
      <c r="C13" s="507"/>
      <c r="D13" s="508">
        <f t="shared" si="20"/>
        <v>375832.41000000003</v>
      </c>
      <c r="E13" s="508"/>
      <c r="F13" s="508">
        <v>385530</v>
      </c>
      <c r="G13" s="508">
        <v>412554.4</v>
      </c>
      <c r="H13" s="508">
        <v>368524.2</v>
      </c>
      <c r="I13" s="1190">
        <v>347354.6</v>
      </c>
      <c r="J13" s="508">
        <v>365198.85</v>
      </c>
      <c r="K13" s="508">
        <v>252909.65</v>
      </c>
      <c r="L13" s="508">
        <v>265721.7</v>
      </c>
      <c r="M13" s="508">
        <v>250875.35</v>
      </c>
      <c r="N13" s="508">
        <v>198681.1</v>
      </c>
      <c r="O13" s="508">
        <v>161150.95</v>
      </c>
      <c r="P13" s="508">
        <v>133849.15</v>
      </c>
      <c r="Q13" s="508">
        <v>130560.75</v>
      </c>
      <c r="R13" s="508">
        <v>108845.25</v>
      </c>
      <c r="S13" s="1193">
        <v>125545</v>
      </c>
      <c r="T13" s="1196"/>
      <c r="U13" s="392"/>
      <c r="V13" s="393">
        <f t="shared" si="28"/>
        <v>112350</v>
      </c>
      <c r="W13" s="393"/>
      <c r="X13" s="393">
        <v>146907</v>
      </c>
      <c r="Y13" s="393">
        <v>131335.25</v>
      </c>
      <c r="Z13" s="393">
        <v>98189</v>
      </c>
      <c r="AA13" s="393">
        <v>91494.5</v>
      </c>
      <c r="AB13" s="393">
        <v>93824.25</v>
      </c>
      <c r="AC13" s="393">
        <v>70208.4</v>
      </c>
      <c r="AD13" s="393">
        <v>90827.65</v>
      </c>
      <c r="AE13" s="393">
        <v>93795.3</v>
      </c>
      <c r="AF13" s="393">
        <v>75968.2</v>
      </c>
      <c r="AG13" s="393">
        <v>65691.6</v>
      </c>
      <c r="AH13" s="393">
        <v>74447.3</v>
      </c>
      <c r="AI13" s="393">
        <v>77459.8</v>
      </c>
      <c r="AJ13" s="393">
        <v>67604.25</v>
      </c>
      <c r="AK13" s="1200">
        <v>65423.75</v>
      </c>
      <c r="AL13" s="389"/>
      <c r="AM13" s="390"/>
      <c r="AN13" s="76">
        <f t="shared" si="29"/>
        <v>488182.41</v>
      </c>
      <c r="AO13" s="76"/>
      <c r="AP13" s="76">
        <f t="shared" si="8"/>
        <v>532437</v>
      </c>
      <c r="AQ13" s="76">
        <f t="shared" si="9"/>
        <v>543889.65</v>
      </c>
      <c r="AR13" s="76">
        <f t="shared" si="10"/>
        <v>466713.2</v>
      </c>
      <c r="AS13" s="76">
        <f t="shared" si="11"/>
        <v>438849.1</v>
      </c>
      <c r="AT13" s="76">
        <f t="shared" si="12"/>
        <v>459023.1</v>
      </c>
      <c r="AU13" s="76">
        <v>323118.05</v>
      </c>
      <c r="AV13" s="76">
        <v>356549.35</v>
      </c>
      <c r="AW13" s="76">
        <v>344670.65</v>
      </c>
      <c r="AX13" s="76">
        <v>274649.3</v>
      </c>
      <c r="AY13" s="76">
        <v>226842.55</v>
      </c>
      <c r="AZ13" s="76">
        <v>208296.45</v>
      </c>
      <c r="BA13" s="76">
        <v>208020.55</v>
      </c>
      <c r="BB13" s="76">
        <v>176449.5</v>
      </c>
      <c r="BC13" s="88">
        <v>190968.75</v>
      </c>
      <c r="BD13" s="170"/>
      <c r="BE13" s="37"/>
      <c r="BF13" s="38">
        <f t="shared" si="21"/>
        <v>223296.33</v>
      </c>
      <c r="BG13" s="123"/>
      <c r="BH13" s="123">
        <v>203110</v>
      </c>
      <c r="BI13" s="38">
        <v>256174.2</v>
      </c>
      <c r="BJ13" s="38">
        <v>241026.9</v>
      </c>
      <c r="BK13" s="38">
        <v>204086.8</v>
      </c>
      <c r="BL13" s="38">
        <v>212083.75</v>
      </c>
      <c r="BM13" s="38">
        <v>147852.55</v>
      </c>
      <c r="BN13" s="38">
        <v>148470.75</v>
      </c>
      <c r="BO13" s="38">
        <v>136831.45</v>
      </c>
      <c r="BP13" s="38">
        <v>112516.15</v>
      </c>
      <c r="BQ13" s="38">
        <v>84433.1</v>
      </c>
      <c r="BR13" s="38">
        <v>60075.8</v>
      </c>
      <c r="BS13" s="38">
        <v>61618.7</v>
      </c>
      <c r="BT13" s="38">
        <v>45611.25</v>
      </c>
      <c r="BU13" s="1203">
        <v>55960.45</v>
      </c>
      <c r="BV13" s="52"/>
      <c r="BW13" s="29"/>
      <c r="BX13" s="30">
        <f t="shared" si="30"/>
        <v>711478.74</v>
      </c>
      <c r="BY13" s="30"/>
      <c r="BZ13" s="30">
        <f t="shared" si="31"/>
        <v>735547</v>
      </c>
      <c r="CA13" s="30">
        <f t="shared" si="31"/>
        <v>800063.8500000001</v>
      </c>
      <c r="CB13" s="30">
        <f t="shared" si="31"/>
        <v>707740.1</v>
      </c>
      <c r="CC13" s="30">
        <f t="shared" si="31"/>
        <v>642935.8999999999</v>
      </c>
      <c r="CD13" s="30">
        <f t="shared" si="31"/>
        <v>671106.85</v>
      </c>
      <c r="CE13" s="30">
        <v>470970.6</v>
      </c>
      <c r="CF13" s="30">
        <v>505020.1</v>
      </c>
      <c r="CG13" s="30">
        <v>481502.1</v>
      </c>
      <c r="CH13" s="30">
        <v>387165.45</v>
      </c>
      <c r="CI13" s="30">
        <v>311275.65</v>
      </c>
      <c r="CJ13" s="30">
        <f t="shared" si="19"/>
        <v>268372.25</v>
      </c>
      <c r="CK13" s="30">
        <v>269639.25</v>
      </c>
      <c r="CL13" s="30">
        <v>222060.75</v>
      </c>
      <c r="CM13" s="77">
        <v>246929.2</v>
      </c>
      <c r="CN13" s="319"/>
      <c r="CO13" s="319"/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19"/>
      <c r="DF13" s="319"/>
      <c r="DG13" s="319"/>
      <c r="DH13" s="319"/>
      <c r="DI13" s="319"/>
      <c r="DJ13" s="319"/>
      <c r="DK13" s="319"/>
      <c r="DL13" s="319"/>
      <c r="DM13" s="319"/>
      <c r="DN13" s="319"/>
      <c r="DO13" s="319"/>
      <c r="DP13" s="319"/>
      <c r="DQ13" s="319"/>
    </row>
    <row r="14" spans="1:121" s="543" customFormat="1" ht="11.25">
      <c r="A14" s="82" t="s">
        <v>23</v>
      </c>
      <c r="B14" s="506"/>
      <c r="C14" s="507"/>
      <c r="D14" s="508">
        <f t="shared" si="20"/>
        <v>350567.37</v>
      </c>
      <c r="E14" s="508"/>
      <c r="F14" s="508">
        <v>375271.45</v>
      </c>
      <c r="G14" s="508">
        <v>382404.65</v>
      </c>
      <c r="H14" s="508">
        <v>325089.9</v>
      </c>
      <c r="I14" s="1190">
        <v>335855.4</v>
      </c>
      <c r="J14" s="508">
        <v>334215.45</v>
      </c>
      <c r="K14" s="508">
        <v>291571.45</v>
      </c>
      <c r="L14" s="508">
        <v>234132.15</v>
      </c>
      <c r="M14" s="508">
        <v>199387.15</v>
      </c>
      <c r="N14" s="508">
        <v>174939</v>
      </c>
      <c r="O14" s="508">
        <v>150339.05</v>
      </c>
      <c r="P14" s="508">
        <v>123957.55</v>
      </c>
      <c r="Q14" s="508">
        <v>116524</v>
      </c>
      <c r="R14" s="508">
        <v>91086.35</v>
      </c>
      <c r="S14" s="1193">
        <v>110470.3</v>
      </c>
      <c r="T14" s="1196"/>
      <c r="U14" s="392"/>
      <c r="V14" s="393">
        <f t="shared" si="28"/>
        <v>111064.25</v>
      </c>
      <c r="W14" s="393"/>
      <c r="X14" s="393">
        <v>145227.75</v>
      </c>
      <c r="Y14" s="393">
        <v>122646</v>
      </c>
      <c r="Z14" s="393">
        <v>98268.25</v>
      </c>
      <c r="AA14" s="858">
        <v>90283.25</v>
      </c>
      <c r="AB14" s="393">
        <v>98896</v>
      </c>
      <c r="AC14" s="393">
        <v>95722.3</v>
      </c>
      <c r="AD14" s="393">
        <v>89680.8</v>
      </c>
      <c r="AE14" s="393">
        <v>82848.85</v>
      </c>
      <c r="AF14" s="393">
        <v>77652.75</v>
      </c>
      <c r="AG14" s="393">
        <v>68248.25</v>
      </c>
      <c r="AH14" s="393">
        <v>66021.4</v>
      </c>
      <c r="AI14" s="393">
        <v>74766</v>
      </c>
      <c r="AJ14" s="393">
        <v>67572.3</v>
      </c>
      <c r="AK14" s="1200">
        <v>62558.4</v>
      </c>
      <c r="AL14" s="389"/>
      <c r="AM14" s="390"/>
      <c r="AN14" s="76">
        <f t="shared" si="29"/>
        <v>461631.62</v>
      </c>
      <c r="AO14" s="76"/>
      <c r="AP14" s="76">
        <f t="shared" si="8"/>
        <v>520499.2</v>
      </c>
      <c r="AQ14" s="76">
        <f t="shared" si="9"/>
        <v>505050.65</v>
      </c>
      <c r="AR14" s="76">
        <f t="shared" si="10"/>
        <v>423358.15</v>
      </c>
      <c r="AS14" s="76">
        <f t="shared" si="11"/>
        <v>426138.65</v>
      </c>
      <c r="AT14" s="76">
        <f t="shared" si="12"/>
        <v>433111.45</v>
      </c>
      <c r="AU14" s="76">
        <v>387293.75</v>
      </c>
      <c r="AV14" s="76">
        <v>323812.95</v>
      </c>
      <c r="AW14" s="76">
        <v>282236</v>
      </c>
      <c r="AX14" s="76">
        <v>252591.75</v>
      </c>
      <c r="AY14" s="76">
        <v>218587.3</v>
      </c>
      <c r="AZ14" s="76">
        <v>189978.55</v>
      </c>
      <c r="BA14" s="76">
        <v>191290</v>
      </c>
      <c r="BB14" s="76">
        <v>158658.65</v>
      </c>
      <c r="BC14" s="88">
        <v>173028.7</v>
      </c>
      <c r="BD14" s="170"/>
      <c r="BE14" s="37"/>
      <c r="BF14" s="38">
        <f t="shared" si="21"/>
        <v>214566.6</v>
      </c>
      <c r="BG14" s="38"/>
      <c r="BH14" s="38">
        <v>215840.95</v>
      </c>
      <c r="BI14" s="38">
        <v>240562.45</v>
      </c>
      <c r="BJ14" s="38">
        <v>217499.8</v>
      </c>
      <c r="BK14" s="38">
        <v>204254.2</v>
      </c>
      <c r="BL14" s="38">
        <v>194675.6</v>
      </c>
      <c r="BM14" s="38">
        <v>158685.75</v>
      </c>
      <c r="BN14" s="38">
        <v>131691.8</v>
      </c>
      <c r="BO14" s="38">
        <v>131792.6</v>
      </c>
      <c r="BP14" s="38">
        <v>95224.5</v>
      </c>
      <c r="BQ14" s="38">
        <v>80458.4</v>
      </c>
      <c r="BR14" s="38">
        <v>55242.6</v>
      </c>
      <c r="BS14" s="38">
        <v>47943</v>
      </c>
      <c r="BT14" s="38">
        <v>39852.85</v>
      </c>
      <c r="BU14" s="1203">
        <v>43959.15</v>
      </c>
      <c r="BV14" s="52"/>
      <c r="BW14" s="29"/>
      <c r="BX14" s="30">
        <f t="shared" si="30"/>
        <v>676198.2200000001</v>
      </c>
      <c r="BY14" s="30"/>
      <c r="BZ14" s="30">
        <f t="shared" si="31"/>
        <v>736340.15</v>
      </c>
      <c r="CA14" s="30">
        <f t="shared" si="31"/>
        <v>745613.1000000001</v>
      </c>
      <c r="CB14" s="30">
        <f t="shared" si="31"/>
        <v>640857.95</v>
      </c>
      <c r="CC14" s="30">
        <f t="shared" si="31"/>
        <v>630392.8500000001</v>
      </c>
      <c r="CD14" s="30">
        <f t="shared" si="31"/>
        <v>627787.05</v>
      </c>
      <c r="CE14" s="30">
        <v>545979.5</v>
      </c>
      <c r="CF14" s="30">
        <v>455504.75</v>
      </c>
      <c r="CG14" s="30">
        <v>414028.6</v>
      </c>
      <c r="CH14" s="30">
        <v>347816.25</v>
      </c>
      <c r="CI14" s="30">
        <v>299045.7</v>
      </c>
      <c r="CJ14" s="30">
        <f t="shared" si="19"/>
        <v>245221.15</v>
      </c>
      <c r="CK14" s="30">
        <v>239233</v>
      </c>
      <c r="CL14" s="30">
        <v>198511.5</v>
      </c>
      <c r="CM14" s="77">
        <v>216987.85</v>
      </c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</row>
    <row r="15" spans="1:121" s="543" customFormat="1" ht="12" thickBot="1">
      <c r="A15" s="498" t="s">
        <v>24</v>
      </c>
      <c r="B15" s="1186"/>
      <c r="C15" s="1187"/>
      <c r="D15" s="1188">
        <f t="shared" si="20"/>
        <v>319900.18</v>
      </c>
      <c r="E15" s="1191"/>
      <c r="F15" s="1191">
        <v>340075.65</v>
      </c>
      <c r="G15" s="1188">
        <v>359066.6</v>
      </c>
      <c r="H15" s="1188">
        <v>321326.15</v>
      </c>
      <c r="I15" s="1191">
        <v>277110.1</v>
      </c>
      <c r="J15" s="1188">
        <v>301922.4</v>
      </c>
      <c r="K15" s="1188">
        <v>291130.5</v>
      </c>
      <c r="L15" s="1188">
        <v>216656.7</v>
      </c>
      <c r="M15" s="1188">
        <v>192452.8</v>
      </c>
      <c r="N15" s="1188">
        <v>170476.75</v>
      </c>
      <c r="O15" s="1188">
        <v>131718.3</v>
      </c>
      <c r="P15" s="1188">
        <v>122273.15</v>
      </c>
      <c r="Q15" s="1188">
        <v>108355.15</v>
      </c>
      <c r="R15" s="1188">
        <v>90407.05</v>
      </c>
      <c r="S15" s="1194">
        <v>104088.05</v>
      </c>
      <c r="T15" s="1197"/>
      <c r="U15" s="963"/>
      <c r="V15" s="512">
        <f t="shared" si="28"/>
        <v>113537.35</v>
      </c>
      <c r="W15" s="1303"/>
      <c r="X15" s="1303">
        <v>148124</v>
      </c>
      <c r="Y15" s="512">
        <v>129467.75</v>
      </c>
      <c r="Z15" s="512">
        <v>102241.5</v>
      </c>
      <c r="AA15" s="1303">
        <v>88668.5</v>
      </c>
      <c r="AB15" s="512">
        <v>99185</v>
      </c>
      <c r="AC15" s="512">
        <v>111941.95</v>
      </c>
      <c r="AD15" s="512">
        <v>86186.35</v>
      </c>
      <c r="AE15" s="512">
        <v>81969.95</v>
      </c>
      <c r="AF15" s="512">
        <v>73364.85</v>
      </c>
      <c r="AG15" s="512">
        <v>62534.05</v>
      </c>
      <c r="AH15" s="512">
        <v>68031.7</v>
      </c>
      <c r="AI15" s="512">
        <v>76540.65</v>
      </c>
      <c r="AJ15" s="512">
        <v>70299.05</v>
      </c>
      <c r="AK15" s="1201">
        <v>60583.95</v>
      </c>
      <c r="AL15" s="1198"/>
      <c r="AM15" s="967"/>
      <c r="AN15" s="968">
        <f t="shared" si="29"/>
        <v>433437.52999999997</v>
      </c>
      <c r="AO15" s="968"/>
      <c r="AP15" s="968">
        <f t="shared" si="8"/>
        <v>488199.65</v>
      </c>
      <c r="AQ15" s="968">
        <f t="shared" si="9"/>
        <v>488534.35</v>
      </c>
      <c r="AR15" s="968">
        <f t="shared" si="10"/>
        <v>423567.65</v>
      </c>
      <c r="AS15" s="968">
        <f t="shared" si="11"/>
        <v>365778.6</v>
      </c>
      <c r="AT15" s="968">
        <f t="shared" si="12"/>
        <v>401107.4</v>
      </c>
      <c r="AU15" s="968">
        <v>386852.8</v>
      </c>
      <c r="AV15" s="968">
        <v>302843.05</v>
      </c>
      <c r="AW15" s="968">
        <v>274422.75</v>
      </c>
      <c r="AX15" s="968">
        <v>243841.6</v>
      </c>
      <c r="AY15" s="968">
        <v>194252.35</v>
      </c>
      <c r="AZ15" s="968">
        <v>188304.83</v>
      </c>
      <c r="BA15" s="968">
        <v>184895.8</v>
      </c>
      <c r="BB15" s="968">
        <v>160706.1</v>
      </c>
      <c r="BC15" s="971">
        <v>164672</v>
      </c>
      <c r="BD15" s="1042"/>
      <c r="BE15" s="1308"/>
      <c r="BF15" s="454">
        <f t="shared" si="21"/>
        <v>188413.93</v>
      </c>
      <c r="BG15" s="675"/>
      <c r="BH15" s="675">
        <v>173202.65</v>
      </c>
      <c r="BI15" s="454">
        <v>223725.65</v>
      </c>
      <c r="BJ15" s="454">
        <v>197721.45</v>
      </c>
      <c r="BK15" s="675">
        <v>185869.7</v>
      </c>
      <c r="BL15" s="454">
        <v>161550.2</v>
      </c>
      <c r="BM15" s="454">
        <v>163629.4</v>
      </c>
      <c r="BN15" s="454">
        <v>124837.1</v>
      </c>
      <c r="BO15" s="454">
        <v>112548.75</v>
      </c>
      <c r="BP15" s="454">
        <v>90307.2</v>
      </c>
      <c r="BQ15" s="454">
        <v>82749</v>
      </c>
      <c r="BR15" s="454">
        <v>64395.65</v>
      </c>
      <c r="BS15" s="454">
        <f>SUM(BS3:BS13)</f>
        <v>460794.2</v>
      </c>
      <c r="BT15" s="454">
        <f>SUM(BT3:BT13)</f>
        <v>406738.1</v>
      </c>
      <c r="BU15" s="1315">
        <f>SUM(BU3:BU13)</f>
        <v>428591.85000000003</v>
      </c>
      <c r="BV15" s="960"/>
      <c r="BW15" s="961"/>
      <c r="BX15" s="940">
        <f t="shared" si="30"/>
        <v>621851.4600000001</v>
      </c>
      <c r="BY15" s="940"/>
      <c r="BZ15" s="940">
        <f t="shared" si="31"/>
        <v>661402.3</v>
      </c>
      <c r="CA15" s="940">
        <f t="shared" si="31"/>
        <v>712260</v>
      </c>
      <c r="CB15" s="940">
        <f t="shared" si="31"/>
        <v>621289.1000000001</v>
      </c>
      <c r="CC15" s="940">
        <f t="shared" si="31"/>
        <v>551648.3</v>
      </c>
      <c r="CD15" s="940">
        <f t="shared" si="31"/>
        <v>562657.6000000001</v>
      </c>
      <c r="CE15" s="940">
        <v>566014.05</v>
      </c>
      <c r="CF15" s="940">
        <v>427680.15</v>
      </c>
      <c r="CG15" s="940">
        <v>386971.5</v>
      </c>
      <c r="CH15" s="940">
        <v>334148.8</v>
      </c>
      <c r="CI15" s="940">
        <v>277001.35</v>
      </c>
      <c r="CJ15" s="940">
        <f t="shared" si="19"/>
        <v>252700.47999999998</v>
      </c>
      <c r="CK15" s="940">
        <v>693633</v>
      </c>
      <c r="CL15" s="940">
        <v>607297.05</v>
      </c>
      <c r="CM15" s="962">
        <v>637223</v>
      </c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19"/>
      <c r="DF15" s="319"/>
      <c r="DG15" s="319"/>
      <c r="DH15" s="319"/>
      <c r="DI15" s="319"/>
      <c r="DJ15" s="319"/>
      <c r="DK15" s="319"/>
      <c r="DL15" s="319"/>
      <c r="DM15" s="319"/>
      <c r="DN15" s="319"/>
      <c r="DO15" s="319"/>
      <c r="DP15" s="319"/>
      <c r="DQ15" s="319"/>
    </row>
    <row r="16" spans="1:121" s="1045" customFormat="1" ht="11.25">
      <c r="A16" s="499" t="s">
        <v>25</v>
      </c>
      <c r="B16" s="467">
        <f>SUM(E16-F16)/F16</f>
        <v>-0.07105035406840164</v>
      </c>
      <c r="C16" s="468">
        <f>SUM(E16-D16)/D16</f>
        <v>0.02505579342963337</v>
      </c>
      <c r="D16" s="469">
        <f t="shared" si="20"/>
        <v>1947662.1300000001</v>
      </c>
      <c r="E16" s="465">
        <f>SUM(E4:E9)</f>
        <v>1996462.3499999999</v>
      </c>
      <c r="F16" s="465">
        <f aca="true" t="shared" si="32" ref="F16:S16">SUM(F4:F9)</f>
        <v>2149161</v>
      </c>
      <c r="G16" s="465">
        <f t="shared" si="32"/>
        <v>2018718.25</v>
      </c>
      <c r="H16" s="465">
        <f t="shared" si="32"/>
        <v>1820184.9</v>
      </c>
      <c r="I16" s="465">
        <f t="shared" si="32"/>
        <v>1960365.25</v>
      </c>
      <c r="J16" s="465">
        <f t="shared" si="32"/>
        <v>1789881.25</v>
      </c>
      <c r="K16" s="465">
        <f t="shared" si="32"/>
        <v>1487939.4000000001</v>
      </c>
      <c r="L16" s="465">
        <f t="shared" si="32"/>
        <v>1208462.95</v>
      </c>
      <c r="M16" s="465">
        <f t="shared" si="32"/>
        <v>1160998.5</v>
      </c>
      <c r="N16" s="465">
        <f t="shared" si="32"/>
        <v>883830.8499999999</v>
      </c>
      <c r="O16" s="465">
        <f t="shared" si="32"/>
        <v>815363.7</v>
      </c>
      <c r="P16" s="465">
        <f t="shared" si="32"/>
        <v>686523.3</v>
      </c>
      <c r="Q16" s="465">
        <f t="shared" si="32"/>
        <v>573233.6499999999</v>
      </c>
      <c r="R16" s="465">
        <f t="shared" si="32"/>
        <v>630090.75</v>
      </c>
      <c r="S16" s="465">
        <f t="shared" si="32"/>
        <v>584802.45</v>
      </c>
      <c r="T16" s="467">
        <f>SUM(W16-X16)/X16</f>
        <v>0.20177691617397783</v>
      </c>
      <c r="U16" s="468">
        <f>SUM(W16-V16)/V16</f>
        <v>0.4239338651209103</v>
      </c>
      <c r="V16" s="469">
        <f t="shared" si="28"/>
        <v>645414.35</v>
      </c>
      <c r="W16" s="465">
        <f>SUM(W4:W9)</f>
        <v>919027.35</v>
      </c>
      <c r="X16" s="465">
        <f aca="true" t="shared" si="33" ref="X16:AK16">SUM(X4:X9)</f>
        <v>764723.75</v>
      </c>
      <c r="Y16" s="465">
        <f t="shared" si="33"/>
        <v>672620.65</v>
      </c>
      <c r="Z16" s="465">
        <f t="shared" si="33"/>
        <v>586930.5</v>
      </c>
      <c r="AA16" s="465">
        <f t="shared" si="33"/>
        <v>600670.75</v>
      </c>
      <c r="AB16" s="465">
        <f t="shared" si="33"/>
        <v>602126.1</v>
      </c>
      <c r="AC16" s="465">
        <f t="shared" si="33"/>
        <v>551269.4500000001</v>
      </c>
      <c r="AD16" s="465">
        <f t="shared" si="33"/>
        <v>514475.89999999997</v>
      </c>
      <c r="AE16" s="465">
        <f t="shared" si="33"/>
        <v>479294.25</v>
      </c>
      <c r="AF16" s="465">
        <f t="shared" si="33"/>
        <v>388538.75</v>
      </c>
      <c r="AG16" s="465">
        <f t="shared" si="33"/>
        <v>407758.1</v>
      </c>
      <c r="AH16" s="465">
        <f t="shared" si="33"/>
        <v>454296.05000000005</v>
      </c>
      <c r="AI16" s="465">
        <f t="shared" si="33"/>
        <v>401213.1</v>
      </c>
      <c r="AJ16" s="465">
        <f t="shared" si="33"/>
        <v>421336.85000000003</v>
      </c>
      <c r="AK16" s="465">
        <f t="shared" si="33"/>
        <v>349092.85</v>
      </c>
      <c r="AL16" s="467">
        <f>SUM(AO16-AP16)/AP16</f>
        <v>0.0005507939186681013</v>
      </c>
      <c r="AM16" s="468">
        <f>SUM(AO16-AN16)/AN16</f>
        <v>0.1243361784685964</v>
      </c>
      <c r="AN16" s="469">
        <f t="shared" si="29"/>
        <v>2593076.48</v>
      </c>
      <c r="AO16" s="938">
        <f aca="true" t="shared" si="34" ref="AO16:AT16">+E16+W16</f>
        <v>2915489.6999999997</v>
      </c>
      <c r="AP16" s="938">
        <f t="shared" si="34"/>
        <v>2913884.75</v>
      </c>
      <c r="AQ16" s="938">
        <f t="shared" si="34"/>
        <v>2691338.9</v>
      </c>
      <c r="AR16" s="938">
        <f t="shared" si="34"/>
        <v>2407115.4</v>
      </c>
      <c r="AS16" s="938">
        <f t="shared" si="34"/>
        <v>2561036</v>
      </c>
      <c r="AT16" s="938">
        <f t="shared" si="34"/>
        <v>2392007.35</v>
      </c>
      <c r="AU16" s="938">
        <v>311360</v>
      </c>
      <c r="AV16" s="938">
        <v>295017.9</v>
      </c>
      <c r="AW16" s="938">
        <v>263575.4</v>
      </c>
      <c r="AX16" s="938">
        <v>202744.1</v>
      </c>
      <c r="AY16" s="938">
        <v>219539.3</v>
      </c>
      <c r="AZ16" s="938">
        <v>185834.75</v>
      </c>
      <c r="BA16" s="938">
        <v>154017.55</v>
      </c>
      <c r="BB16" s="938">
        <v>182077.5</v>
      </c>
      <c r="BC16" s="1341">
        <v>148323.45</v>
      </c>
      <c r="BD16" s="464">
        <f>SUM(BG16-BH16)/BH16</f>
        <v>-0.2426953254023429</v>
      </c>
      <c r="BE16" s="500">
        <f>SUM(BG16-BF16)/BF16</f>
        <v>-0.22336640009784794</v>
      </c>
      <c r="BF16" s="465">
        <f t="shared" si="21"/>
        <v>1106042.0899999999</v>
      </c>
      <c r="BG16" s="465">
        <f>SUM(BG4:BG9)</f>
        <v>858989.45</v>
      </c>
      <c r="BH16" s="465">
        <f aca="true" t="shared" si="35" ref="BH16:BU16">SUM(BH4:BH9)</f>
        <v>1134271.95</v>
      </c>
      <c r="BI16" s="465">
        <f t="shared" si="35"/>
        <v>1176919.6</v>
      </c>
      <c r="BJ16" s="465">
        <f t="shared" si="35"/>
        <v>1144192.55</v>
      </c>
      <c r="BK16" s="465">
        <f t="shared" si="35"/>
        <v>1038858</v>
      </c>
      <c r="BL16" s="465">
        <f t="shared" si="35"/>
        <v>1035968.35</v>
      </c>
      <c r="BM16" s="465">
        <f t="shared" si="35"/>
        <v>792576.25</v>
      </c>
      <c r="BN16" s="465">
        <f t="shared" si="35"/>
        <v>658798.15</v>
      </c>
      <c r="BO16" s="465">
        <f t="shared" si="35"/>
        <v>629758.25</v>
      </c>
      <c r="BP16" s="465">
        <f t="shared" si="35"/>
        <v>472109.25</v>
      </c>
      <c r="BQ16" s="465">
        <f t="shared" si="35"/>
        <v>385189.2</v>
      </c>
      <c r="BR16" s="465">
        <f t="shared" si="35"/>
        <v>281676.85</v>
      </c>
      <c r="BS16" s="465">
        <f t="shared" si="35"/>
        <v>246301.84999999998</v>
      </c>
      <c r="BT16" s="465">
        <f t="shared" si="35"/>
        <v>233516</v>
      </c>
      <c r="BU16" s="465">
        <f t="shared" si="35"/>
        <v>228020.55</v>
      </c>
      <c r="BV16" s="1204">
        <f>SUM(BY16-BZ16)/BZ16</f>
        <v>-0.06760547337507976</v>
      </c>
      <c r="BW16" s="468">
        <f>SUM(BY16-BX16)/BX16</f>
        <v>0.020372577567849937</v>
      </c>
      <c r="BX16" s="469">
        <f t="shared" si="30"/>
        <v>3699118.5700000003</v>
      </c>
      <c r="BY16" s="938">
        <f>+AO16+BG16</f>
        <v>3774479.1499999994</v>
      </c>
      <c r="BZ16" s="938">
        <f t="shared" si="31"/>
        <v>4048156.7</v>
      </c>
      <c r="CA16" s="938">
        <f t="shared" si="31"/>
        <v>3868258.5</v>
      </c>
      <c r="CB16" s="938">
        <f t="shared" si="31"/>
        <v>3551307.95</v>
      </c>
      <c r="CC16" s="938">
        <f t="shared" si="31"/>
        <v>3599894</v>
      </c>
      <c r="CD16" s="938">
        <f t="shared" si="31"/>
        <v>3427975.7</v>
      </c>
      <c r="CE16" s="938">
        <v>436566</v>
      </c>
      <c r="CF16" s="938">
        <v>401635.5</v>
      </c>
      <c r="CG16" s="938">
        <v>357267.3</v>
      </c>
      <c r="CH16" s="938">
        <v>275689.45</v>
      </c>
      <c r="CI16" s="938">
        <v>274964.85</v>
      </c>
      <c r="CJ16" s="938">
        <f>+AZ16+BR16</f>
        <v>467511.6</v>
      </c>
      <c r="CK16" s="938">
        <v>195023.9</v>
      </c>
      <c r="CL16" s="938">
        <v>220212</v>
      </c>
      <c r="CM16" s="1342">
        <v>187718.25</v>
      </c>
      <c r="CN16" s="534"/>
      <c r="CO16" s="534"/>
      <c r="CP16" s="534"/>
      <c r="CQ16" s="534"/>
      <c r="CR16" s="534"/>
      <c r="CS16" s="534"/>
      <c r="CT16" s="534"/>
      <c r="CU16" s="534"/>
      <c r="CV16" s="534"/>
      <c r="CW16" s="534"/>
      <c r="CX16" s="534"/>
      <c r="CY16" s="534"/>
      <c r="CZ16" s="534"/>
      <c r="DA16" s="534"/>
      <c r="DB16" s="534"/>
      <c r="DC16" s="534"/>
      <c r="DD16" s="534"/>
      <c r="DE16" s="534"/>
      <c r="DF16" s="534"/>
      <c r="DG16" s="534"/>
      <c r="DH16" s="534"/>
      <c r="DI16" s="534"/>
      <c r="DJ16" s="534"/>
      <c r="DK16" s="534"/>
      <c r="DL16" s="534"/>
      <c r="DM16" s="534"/>
      <c r="DN16" s="534"/>
      <c r="DO16" s="534"/>
      <c r="DP16" s="534"/>
      <c r="DQ16" s="534"/>
    </row>
    <row r="17" spans="1:121" s="1691" customFormat="1" ht="12" thickBot="1">
      <c r="A17" s="355" t="s">
        <v>28</v>
      </c>
      <c r="B17" s="294">
        <f>SUM(E17-F17)/F17</f>
        <v>-0.08110094995223696</v>
      </c>
      <c r="C17" s="358">
        <f>SUM(E17-D17)/D17</f>
        <v>-0.009390069361090247</v>
      </c>
      <c r="D17" s="295">
        <f>AVERAGE(D4:D15)</f>
        <v>340909.57166666666</v>
      </c>
      <c r="E17" s="295">
        <f>AVERAGE(E4:E15)</f>
        <v>337708.4071428571</v>
      </c>
      <c r="F17" s="295">
        <f>AVERAGE(F4:F15)</f>
        <v>367514.1541666666</v>
      </c>
      <c r="G17" s="295">
        <f aca="true" t="shared" si="36" ref="G17:S17">AVERAGE(G4:G15)</f>
        <v>367348.77083333326</v>
      </c>
      <c r="H17" s="295">
        <f t="shared" si="36"/>
        <v>323443.83749999997</v>
      </c>
      <c r="I17" s="295">
        <f t="shared" si="36"/>
        <v>328368.325</v>
      </c>
      <c r="J17" s="295">
        <f t="shared" si="36"/>
        <v>317872.7708333334</v>
      </c>
      <c r="K17" s="295">
        <f t="shared" si="36"/>
        <v>269367.6375</v>
      </c>
      <c r="L17" s="295">
        <f t="shared" si="36"/>
        <v>223637.33750000002</v>
      </c>
      <c r="M17" s="295">
        <f t="shared" si="36"/>
        <v>207712.19999999995</v>
      </c>
      <c r="N17" s="295">
        <f t="shared" si="36"/>
        <v>163821.07083333333</v>
      </c>
      <c r="O17" s="295">
        <f t="shared" si="36"/>
        <v>142951.34166666665</v>
      </c>
      <c r="P17" s="295">
        <f t="shared" si="36"/>
        <v>121885.15833333333</v>
      </c>
      <c r="Q17" s="295">
        <f t="shared" si="36"/>
        <v>107780.11666666665</v>
      </c>
      <c r="R17" s="295">
        <f t="shared" si="36"/>
        <v>104282.2375</v>
      </c>
      <c r="S17" s="296">
        <f t="shared" si="36"/>
        <v>106536.65000000001</v>
      </c>
      <c r="T17" s="294">
        <f>SUM(W17-X17)/X17</f>
        <v>0.16516047830858768</v>
      </c>
      <c r="U17" s="358">
        <f>SUM(W17-V17)/V17</f>
        <v>0.4418437215022773</v>
      </c>
      <c r="V17" s="295">
        <f>AVERAGE(V4:V15)</f>
        <v>108261.96583333334</v>
      </c>
      <c r="W17" s="295">
        <f>AVERAGE(W4:W15)</f>
        <v>156096.83571428573</v>
      </c>
      <c r="X17" s="295">
        <f>AVERAGE(X4:X15)</f>
        <v>133970.24583333332</v>
      </c>
      <c r="Y17" s="295">
        <f aca="true" t="shared" si="37" ref="Y17:AK17">AVERAGE(Y4:Y15)</f>
        <v>118634.99166666665</v>
      </c>
      <c r="Z17" s="295">
        <f t="shared" si="37"/>
        <v>97602.54166666667</v>
      </c>
      <c r="AA17" s="295">
        <f t="shared" si="37"/>
        <v>94156.66666666667</v>
      </c>
      <c r="AB17" s="295">
        <f t="shared" si="37"/>
        <v>96945.38333333335</v>
      </c>
      <c r="AC17" s="295">
        <f t="shared" si="37"/>
        <v>91150.53750000002</v>
      </c>
      <c r="AD17" s="295">
        <f t="shared" si="37"/>
        <v>86482.89166666666</v>
      </c>
      <c r="AE17" s="295">
        <f t="shared" si="37"/>
        <v>82054.24166666665</v>
      </c>
      <c r="AF17" s="295">
        <f t="shared" si="37"/>
        <v>68131.7125</v>
      </c>
      <c r="AG17" s="295">
        <f t="shared" si="37"/>
        <v>66222.35416666667</v>
      </c>
      <c r="AH17" s="295">
        <f t="shared" si="37"/>
        <v>72577.15416666667</v>
      </c>
      <c r="AI17" s="295">
        <f t="shared" si="37"/>
        <v>69694.05833333333</v>
      </c>
      <c r="AJ17" s="295">
        <f t="shared" si="37"/>
        <v>68698.62916666668</v>
      </c>
      <c r="AK17" s="296">
        <f t="shared" si="37"/>
        <v>60426.4125</v>
      </c>
      <c r="AL17" s="294">
        <f>SUM(AO17-AP17)/AP17</f>
        <v>-0.015312853486284216</v>
      </c>
      <c r="AM17" s="358">
        <f>SUM(AO17-AN17)/AN17</f>
        <v>0.09936895290731279</v>
      </c>
      <c r="AN17" s="295">
        <f>AVERAGE(AN4:AN15)</f>
        <v>449171.53750000003</v>
      </c>
      <c r="AO17" s="295">
        <f>AVERAGE(AO4:AO15)</f>
        <v>493805.2428571428</v>
      </c>
      <c r="AP17" s="295">
        <f>AVERAGE(AP4:AP15)</f>
        <v>501484.39999999997</v>
      </c>
      <c r="AQ17" s="295">
        <f aca="true" t="shared" si="38" ref="AQ17:BC17">AVERAGE(AQ4:AQ15)</f>
        <v>485983.7625</v>
      </c>
      <c r="AR17" s="295">
        <f t="shared" si="38"/>
        <v>421046.3791666667</v>
      </c>
      <c r="AS17" s="295">
        <f t="shared" si="38"/>
        <v>422524.99166666664</v>
      </c>
      <c r="AT17" s="295">
        <f t="shared" si="38"/>
        <v>414818.15416666673</v>
      </c>
      <c r="AU17" s="295">
        <f t="shared" si="38"/>
        <v>359166.5374999999</v>
      </c>
      <c r="AV17" s="295">
        <f t="shared" si="38"/>
        <v>310120.2291666667</v>
      </c>
      <c r="AW17" s="295">
        <f t="shared" si="38"/>
        <v>289766.44166666665</v>
      </c>
      <c r="AX17" s="295">
        <f t="shared" si="38"/>
        <v>231952.78333333333</v>
      </c>
      <c r="AY17" s="295">
        <f t="shared" si="38"/>
        <v>209173.69583333333</v>
      </c>
      <c r="AZ17" s="295">
        <f t="shared" si="38"/>
        <v>194378.9525</v>
      </c>
      <c r="BA17" s="295">
        <f t="shared" si="38"/>
        <v>177474.17500000002</v>
      </c>
      <c r="BB17" s="295">
        <f t="shared" si="38"/>
        <v>172980.86666666667</v>
      </c>
      <c r="BC17" s="1036">
        <f t="shared" si="38"/>
        <v>166963.0625</v>
      </c>
      <c r="BD17" s="294">
        <f>SUM(BG17-BH17)/BH17</f>
        <v>-0.25479309644374193</v>
      </c>
      <c r="BE17" s="358">
        <f>SUM(BG17-BF17)/BF17</f>
        <v>-0.26569336115505116</v>
      </c>
      <c r="BF17" s="295">
        <f>AVERAGE(BF4:BF15)</f>
        <v>197660.07750000004</v>
      </c>
      <c r="BG17" s="295">
        <f>AVERAGE(BG4:BG15)</f>
        <v>145143.10714285713</v>
      </c>
      <c r="BH17" s="295">
        <f>AVERAGE(BH4:BH15)</f>
        <v>194768.87083333335</v>
      </c>
      <c r="BI17" s="295">
        <f aca="true" t="shared" si="39" ref="BI17:BU17">AVERAGE(BI4:BI15)</f>
        <v>219837.32083333333</v>
      </c>
      <c r="BJ17" s="295">
        <f t="shared" si="39"/>
        <v>202672.32499999998</v>
      </c>
      <c r="BK17" s="295">
        <f t="shared" si="39"/>
        <v>187595.01666666663</v>
      </c>
      <c r="BL17" s="295">
        <f t="shared" si="39"/>
        <v>183426.85416666666</v>
      </c>
      <c r="BM17" s="295">
        <f t="shared" si="39"/>
        <v>148303.77916666665</v>
      </c>
      <c r="BN17" s="295">
        <f t="shared" si="39"/>
        <v>121839.01250000001</v>
      </c>
      <c r="BO17" s="295">
        <f t="shared" si="39"/>
        <v>116852.61666666665</v>
      </c>
      <c r="BP17" s="295">
        <f t="shared" si="39"/>
        <v>87118.05</v>
      </c>
      <c r="BQ17" s="295">
        <f t="shared" si="39"/>
        <v>72344.6125</v>
      </c>
      <c r="BR17" s="295">
        <f t="shared" si="39"/>
        <v>52180.5375</v>
      </c>
      <c r="BS17" s="295">
        <f t="shared" si="39"/>
        <v>80794.28333333334</v>
      </c>
      <c r="BT17" s="295">
        <f t="shared" si="39"/>
        <v>71110.75416666667</v>
      </c>
      <c r="BU17" s="296">
        <f t="shared" si="39"/>
        <v>75095.2375</v>
      </c>
      <c r="BV17" s="1314">
        <f>SUM(BY17-BZ17)/BZ17</f>
        <v>-0.08230470610895103</v>
      </c>
      <c r="BW17" s="358">
        <f>SUM(BY17-BX17)/BX17</f>
        <v>-0.012187507254109555</v>
      </c>
      <c r="BX17" s="295">
        <f>AVERAGE(BX4:BX15)</f>
        <v>646831.6149999999</v>
      </c>
      <c r="BY17" s="295">
        <f>AVERAGE(BY4:BY15)</f>
        <v>638948.35</v>
      </c>
      <c r="BZ17" s="295">
        <f>AVERAGE(BZ4:BZ15)</f>
        <v>696253.2708333334</v>
      </c>
      <c r="CA17" s="295">
        <f aca="true" t="shared" si="40" ref="CA17:CM17">AVERAGE(CA4:CA15)</f>
        <v>705821.0833333334</v>
      </c>
      <c r="CB17" s="295">
        <f t="shared" si="40"/>
        <v>623718.7041666666</v>
      </c>
      <c r="CC17" s="295">
        <f t="shared" si="40"/>
        <v>610120.0083333332</v>
      </c>
      <c r="CD17" s="295">
        <f t="shared" si="40"/>
        <v>598245.0083333333</v>
      </c>
      <c r="CE17" s="295">
        <f t="shared" si="40"/>
        <v>508764.63749999995</v>
      </c>
      <c r="CF17" s="295">
        <f t="shared" si="40"/>
        <v>431959.2416666667</v>
      </c>
      <c r="CG17" s="295">
        <f t="shared" si="40"/>
        <v>406619.05833333335</v>
      </c>
      <c r="CH17" s="295">
        <f t="shared" si="40"/>
        <v>319070.8333333334</v>
      </c>
      <c r="CI17" s="295">
        <f t="shared" si="40"/>
        <v>281518.30833333335</v>
      </c>
      <c r="CJ17" s="295">
        <f t="shared" si="40"/>
        <v>246559.48999999996</v>
      </c>
      <c r="CK17" s="295">
        <f t="shared" si="40"/>
        <v>262263.7083333333</v>
      </c>
      <c r="CL17" s="295">
        <f t="shared" si="40"/>
        <v>247412.69166666665</v>
      </c>
      <c r="CM17" s="296">
        <f t="shared" si="40"/>
        <v>245721.5625</v>
      </c>
      <c r="CN17" s="534"/>
      <c r="CO17" s="534"/>
      <c r="CP17" s="534"/>
      <c r="CQ17" s="534"/>
      <c r="CR17" s="534"/>
      <c r="CS17" s="534"/>
      <c r="CT17" s="534"/>
      <c r="CU17" s="534"/>
      <c r="CV17" s="534"/>
      <c r="CW17" s="534"/>
      <c r="CX17" s="534"/>
      <c r="CY17" s="534"/>
      <c r="CZ17" s="534"/>
      <c r="DA17" s="534"/>
      <c r="DB17" s="534"/>
      <c r="DC17" s="534"/>
      <c r="DD17" s="534"/>
      <c r="DE17" s="534"/>
      <c r="DF17" s="534"/>
      <c r="DG17" s="534"/>
      <c r="DH17" s="534"/>
      <c r="DI17" s="534"/>
      <c r="DJ17" s="534"/>
      <c r="DK17" s="534"/>
      <c r="DL17" s="534"/>
      <c r="DM17" s="534"/>
      <c r="DN17" s="534"/>
      <c r="DO17" s="534"/>
      <c r="DP17" s="534"/>
      <c r="DQ17" s="534"/>
    </row>
    <row r="18" spans="5:62" s="144" customFormat="1" ht="11.25">
      <c r="E18" s="104"/>
      <c r="F18" s="104"/>
      <c r="G18" s="104"/>
      <c r="H18" s="104"/>
      <c r="W18" s="104"/>
      <c r="X18" s="104"/>
      <c r="Y18" s="104"/>
      <c r="Z18" s="104"/>
      <c r="BG18" s="104"/>
      <c r="BH18" s="104"/>
      <c r="BI18" s="104"/>
      <c r="BJ18" s="104"/>
    </row>
    <row r="19" spans="5:62" s="144" customFormat="1" ht="11.25">
      <c r="E19" s="104"/>
      <c r="F19" s="104"/>
      <c r="G19" s="104"/>
      <c r="H19" s="104"/>
      <c r="W19" s="104"/>
      <c r="X19" s="104"/>
      <c r="Y19" s="104"/>
      <c r="Z19" s="104"/>
      <c r="BG19" s="104"/>
      <c r="BH19" s="104"/>
      <c r="BI19" s="104"/>
      <c r="BJ19" s="104"/>
    </row>
    <row r="20" spans="5:62" s="144" customFormat="1" ht="11.25">
      <c r="E20" s="104"/>
      <c r="F20" s="104"/>
      <c r="G20" s="104"/>
      <c r="H20" s="104"/>
      <c r="W20" s="104"/>
      <c r="X20" s="104"/>
      <c r="Y20" s="104"/>
      <c r="Z20" s="104"/>
      <c r="BG20" s="104"/>
      <c r="BH20" s="104"/>
      <c r="BI20" s="104"/>
      <c r="BJ20" s="104"/>
    </row>
    <row r="21" spans="5:62" s="144" customFormat="1" ht="11.25">
      <c r="E21" s="104"/>
      <c r="F21" s="104"/>
      <c r="G21" s="104"/>
      <c r="H21" s="104"/>
      <c r="W21" s="104"/>
      <c r="X21" s="104"/>
      <c r="Y21" s="104"/>
      <c r="Z21" s="104"/>
      <c r="BG21" s="104"/>
      <c r="BH21" s="104"/>
      <c r="BI21" s="104"/>
      <c r="BJ21" s="104"/>
    </row>
    <row r="22" spans="5:62" s="144" customFormat="1" ht="11.25">
      <c r="E22" s="104"/>
      <c r="F22" s="104"/>
      <c r="G22" s="104"/>
      <c r="H22" s="104"/>
      <c r="W22" s="104"/>
      <c r="X22" s="104"/>
      <c r="Y22" s="104"/>
      <c r="Z22" s="104"/>
      <c r="BG22" s="104"/>
      <c r="BH22" s="104"/>
      <c r="BI22" s="104"/>
      <c r="BJ22" s="104"/>
    </row>
    <row r="23" spans="5:62" s="144" customFormat="1" ht="11.25">
      <c r="E23" s="104"/>
      <c r="F23" s="104"/>
      <c r="G23" s="104"/>
      <c r="H23" s="104"/>
      <c r="W23" s="104"/>
      <c r="X23" s="104"/>
      <c r="Y23" s="104"/>
      <c r="Z23" s="104"/>
      <c r="BG23" s="104"/>
      <c r="BH23" s="104"/>
      <c r="BI23" s="104"/>
      <c r="BJ23" s="104"/>
    </row>
    <row r="24" spans="5:62" s="144" customFormat="1" ht="11.25">
      <c r="E24" s="104"/>
      <c r="F24" s="104"/>
      <c r="G24" s="104"/>
      <c r="H24" s="104"/>
      <c r="W24" s="104"/>
      <c r="X24" s="104"/>
      <c r="Y24" s="104"/>
      <c r="Z24" s="104"/>
      <c r="BG24" s="104"/>
      <c r="BH24" s="104"/>
      <c r="BI24" s="104"/>
      <c r="BJ24" s="104"/>
    </row>
    <row r="25" spans="5:62" s="144" customFormat="1" ht="11.25">
      <c r="E25" s="104"/>
      <c r="F25" s="104"/>
      <c r="G25" s="104"/>
      <c r="H25" s="104"/>
      <c r="W25" s="104"/>
      <c r="X25" s="104"/>
      <c r="Y25" s="104"/>
      <c r="Z25" s="104"/>
      <c r="BG25" s="104"/>
      <c r="BH25" s="104"/>
      <c r="BI25" s="104"/>
      <c r="BJ25" s="104"/>
    </row>
    <row r="26" spans="5:62" s="144" customFormat="1" ht="11.25">
      <c r="E26" s="104"/>
      <c r="F26" s="104"/>
      <c r="G26" s="104"/>
      <c r="H26" s="104"/>
      <c r="W26" s="104"/>
      <c r="X26" s="104"/>
      <c r="Y26" s="104"/>
      <c r="Z26" s="104"/>
      <c r="BG26" s="104"/>
      <c r="BH26" s="104"/>
      <c r="BI26" s="104"/>
      <c r="BJ26" s="104"/>
    </row>
    <row r="27" spans="5:62" s="144" customFormat="1" ht="11.25">
      <c r="E27" s="104"/>
      <c r="F27" s="104"/>
      <c r="G27" s="104"/>
      <c r="H27" s="104"/>
      <c r="W27" s="104"/>
      <c r="X27" s="104"/>
      <c r="Y27" s="104"/>
      <c r="Z27" s="104"/>
      <c r="BG27" s="104"/>
      <c r="BH27" s="104"/>
      <c r="BI27" s="104"/>
      <c r="BJ27" s="104"/>
    </row>
    <row r="28" spans="5:62" s="144" customFormat="1" ht="11.25">
      <c r="E28" s="104"/>
      <c r="F28" s="104"/>
      <c r="G28" s="104"/>
      <c r="H28" s="104"/>
      <c r="W28" s="104"/>
      <c r="X28" s="104"/>
      <c r="Y28" s="104"/>
      <c r="Z28" s="104"/>
      <c r="BG28" s="104"/>
      <c r="BH28" s="104"/>
      <c r="BI28" s="104"/>
      <c r="BJ28" s="104"/>
    </row>
    <row r="29" spans="5:62" s="144" customFormat="1" ht="11.25">
      <c r="E29" s="104"/>
      <c r="F29" s="104"/>
      <c r="G29" s="104"/>
      <c r="H29" s="104"/>
      <c r="W29" s="104"/>
      <c r="X29" s="104"/>
      <c r="Y29" s="104"/>
      <c r="Z29" s="104"/>
      <c r="BG29" s="104"/>
      <c r="BH29" s="104"/>
      <c r="BI29" s="104"/>
      <c r="BJ29" s="104"/>
    </row>
    <row r="30" spans="5:62" s="144" customFormat="1" ht="11.25">
      <c r="E30" s="104"/>
      <c r="F30" s="104"/>
      <c r="G30" s="104"/>
      <c r="H30" s="104"/>
      <c r="W30" s="104"/>
      <c r="X30" s="104"/>
      <c r="Y30" s="104"/>
      <c r="Z30" s="104"/>
      <c r="BG30" s="104"/>
      <c r="BH30" s="104"/>
      <c r="BI30" s="104"/>
      <c r="BJ30" s="104"/>
    </row>
    <row r="31" spans="5:62" s="144" customFormat="1" ht="11.25">
      <c r="E31" s="104"/>
      <c r="F31" s="104"/>
      <c r="G31" s="104"/>
      <c r="H31" s="104"/>
      <c r="W31" s="104"/>
      <c r="X31" s="104"/>
      <c r="Y31" s="104"/>
      <c r="Z31" s="104"/>
      <c r="BG31" s="104"/>
      <c r="BH31" s="104"/>
      <c r="BI31" s="104"/>
      <c r="BJ31" s="104"/>
    </row>
    <row r="32" spans="5:62" s="144" customFormat="1" ht="11.25">
      <c r="E32" s="104"/>
      <c r="F32" s="104"/>
      <c r="G32" s="104"/>
      <c r="H32" s="104"/>
      <c r="W32" s="104"/>
      <c r="X32" s="104"/>
      <c r="Y32" s="104"/>
      <c r="Z32" s="104"/>
      <c r="BG32" s="104"/>
      <c r="BH32" s="104"/>
      <c r="BI32" s="104"/>
      <c r="BJ32" s="104"/>
    </row>
    <row r="33" spans="5:62" s="144" customFormat="1" ht="11.25">
      <c r="E33" s="104"/>
      <c r="F33" s="104"/>
      <c r="G33" s="104"/>
      <c r="H33" s="104"/>
      <c r="W33" s="104"/>
      <c r="X33" s="104"/>
      <c r="Y33" s="104"/>
      <c r="Z33" s="104"/>
      <c r="BG33" s="104"/>
      <c r="BH33" s="104"/>
      <c r="BI33" s="104"/>
      <c r="BJ33" s="104"/>
    </row>
    <row r="34" spans="5:62" s="144" customFormat="1" ht="11.25">
      <c r="E34" s="104"/>
      <c r="F34" s="104"/>
      <c r="G34" s="104"/>
      <c r="H34" s="104"/>
      <c r="W34" s="104"/>
      <c r="X34" s="104"/>
      <c r="Y34" s="104"/>
      <c r="Z34" s="104"/>
      <c r="BG34" s="104"/>
      <c r="BH34" s="104"/>
      <c r="BI34" s="104"/>
      <c r="BJ34" s="104"/>
    </row>
    <row r="35" spans="5:62" s="144" customFormat="1" ht="11.25">
      <c r="E35" s="104"/>
      <c r="F35" s="104"/>
      <c r="G35" s="104"/>
      <c r="H35" s="104"/>
      <c r="W35" s="104"/>
      <c r="X35" s="104"/>
      <c r="Y35" s="104"/>
      <c r="Z35" s="104"/>
      <c r="BG35" s="104"/>
      <c r="BH35" s="104"/>
      <c r="BI35" s="104"/>
      <c r="BJ35" s="104"/>
    </row>
    <row r="36" spans="5:62" s="144" customFormat="1" ht="11.25">
      <c r="E36" s="104"/>
      <c r="F36" s="104"/>
      <c r="G36" s="104"/>
      <c r="H36" s="104"/>
      <c r="W36" s="104"/>
      <c r="X36" s="104"/>
      <c r="Y36" s="104"/>
      <c r="Z36" s="104"/>
      <c r="BG36" s="104"/>
      <c r="BH36" s="104"/>
      <c r="BI36" s="104"/>
      <c r="BJ36" s="104"/>
    </row>
    <row r="37" spans="5:62" s="144" customFormat="1" ht="11.25">
      <c r="E37" s="104"/>
      <c r="F37" s="104"/>
      <c r="G37" s="104"/>
      <c r="H37" s="104"/>
      <c r="W37" s="104"/>
      <c r="X37" s="104"/>
      <c r="Y37" s="104"/>
      <c r="Z37" s="104"/>
      <c r="BG37" s="104"/>
      <c r="BH37" s="104"/>
      <c r="BI37" s="104"/>
      <c r="BJ37" s="104"/>
    </row>
    <row r="38" spans="5:62" s="144" customFormat="1" ht="11.25">
      <c r="E38" s="104"/>
      <c r="F38" s="104"/>
      <c r="G38" s="104"/>
      <c r="H38" s="104"/>
      <c r="W38" s="104"/>
      <c r="X38" s="104"/>
      <c r="Y38" s="104"/>
      <c r="Z38" s="104"/>
      <c r="BG38" s="104"/>
      <c r="BH38" s="104"/>
      <c r="BI38" s="104"/>
      <c r="BJ38" s="104"/>
    </row>
    <row r="39" spans="5:62" s="144" customFormat="1" ht="11.25">
      <c r="E39" s="104"/>
      <c r="F39" s="104"/>
      <c r="G39" s="104"/>
      <c r="H39" s="104"/>
      <c r="W39" s="104"/>
      <c r="X39" s="104"/>
      <c r="Y39" s="104"/>
      <c r="Z39" s="104"/>
      <c r="BG39" s="104"/>
      <c r="BH39" s="104"/>
      <c r="BI39" s="104"/>
      <c r="BJ39" s="104"/>
    </row>
    <row r="40" spans="5:62" s="144" customFormat="1" ht="11.25">
      <c r="E40" s="104"/>
      <c r="F40" s="104"/>
      <c r="G40" s="104"/>
      <c r="H40" s="104"/>
      <c r="W40" s="104"/>
      <c r="X40" s="104"/>
      <c r="Y40" s="104"/>
      <c r="Z40" s="104"/>
      <c r="BG40" s="104"/>
      <c r="BH40" s="104"/>
      <c r="BI40" s="104"/>
      <c r="BJ40" s="104"/>
    </row>
    <row r="41" spans="5:62" s="144" customFormat="1" ht="11.25">
      <c r="E41" s="104"/>
      <c r="F41" s="104"/>
      <c r="G41" s="104"/>
      <c r="H41" s="104"/>
      <c r="W41" s="104"/>
      <c r="X41" s="104"/>
      <c r="Y41" s="104"/>
      <c r="Z41" s="104"/>
      <c r="BG41" s="104"/>
      <c r="BH41" s="104"/>
      <c r="BI41" s="104"/>
      <c r="BJ41" s="104"/>
    </row>
    <row r="42" spans="5:62" s="144" customFormat="1" ht="11.25">
      <c r="E42" s="104"/>
      <c r="F42" s="104"/>
      <c r="G42" s="104"/>
      <c r="H42" s="104"/>
      <c r="W42" s="104"/>
      <c r="X42" s="104"/>
      <c r="Y42" s="104"/>
      <c r="Z42" s="104"/>
      <c r="BG42" s="104"/>
      <c r="BH42" s="104"/>
      <c r="BI42" s="104"/>
      <c r="BJ42" s="104"/>
    </row>
    <row r="43" spans="5:62" s="144" customFormat="1" ht="11.25">
      <c r="E43" s="104"/>
      <c r="F43" s="104"/>
      <c r="G43" s="104"/>
      <c r="H43" s="104"/>
      <c r="W43" s="104"/>
      <c r="X43" s="104"/>
      <c r="Y43" s="104"/>
      <c r="Z43" s="104"/>
      <c r="BG43" s="104"/>
      <c r="BH43" s="104"/>
      <c r="BI43" s="104"/>
      <c r="BJ43" s="104"/>
    </row>
    <row r="44" spans="5:62" s="144" customFormat="1" ht="11.25">
      <c r="E44" s="104"/>
      <c r="F44" s="104"/>
      <c r="G44" s="104"/>
      <c r="H44" s="104"/>
      <c r="W44" s="104"/>
      <c r="X44" s="104"/>
      <c r="Y44" s="104"/>
      <c r="Z44" s="104"/>
      <c r="BG44" s="104"/>
      <c r="BH44" s="104"/>
      <c r="BI44" s="104"/>
      <c r="BJ44" s="104"/>
    </row>
    <row r="45" spans="5:62" s="144" customFormat="1" ht="11.25">
      <c r="E45" s="104"/>
      <c r="F45" s="104"/>
      <c r="G45" s="104"/>
      <c r="H45" s="104"/>
      <c r="W45" s="104"/>
      <c r="X45" s="104"/>
      <c r="Y45" s="104"/>
      <c r="Z45" s="104"/>
      <c r="BG45" s="104"/>
      <c r="BH45" s="104"/>
      <c r="BI45" s="104"/>
      <c r="BJ45" s="104"/>
    </row>
    <row r="46" spans="5:62" s="144" customFormat="1" ht="11.25">
      <c r="E46" s="104"/>
      <c r="F46" s="104"/>
      <c r="G46" s="104"/>
      <c r="H46" s="104"/>
      <c r="W46" s="104"/>
      <c r="X46" s="104"/>
      <c r="Y46" s="104"/>
      <c r="Z46" s="104"/>
      <c r="BG46" s="104"/>
      <c r="BH46" s="104"/>
      <c r="BI46" s="104"/>
      <c r="BJ46" s="104"/>
    </row>
    <row r="47" spans="5:62" s="144" customFormat="1" ht="11.25">
      <c r="E47" s="104"/>
      <c r="F47" s="104"/>
      <c r="G47" s="104"/>
      <c r="H47" s="104"/>
      <c r="W47" s="104"/>
      <c r="X47" s="104"/>
      <c r="Y47" s="104"/>
      <c r="Z47" s="104"/>
      <c r="BG47" s="104"/>
      <c r="BH47" s="104"/>
      <c r="BI47" s="104"/>
      <c r="BJ47" s="104"/>
    </row>
    <row r="48" spans="5:62" s="144" customFormat="1" ht="11.25">
      <c r="E48" s="104"/>
      <c r="F48" s="104"/>
      <c r="G48" s="104"/>
      <c r="H48" s="104"/>
      <c r="W48" s="104"/>
      <c r="X48" s="104"/>
      <c r="Y48" s="104"/>
      <c r="Z48" s="104"/>
      <c r="BG48" s="104"/>
      <c r="BH48" s="104"/>
      <c r="BI48" s="104"/>
      <c r="BJ48" s="104"/>
    </row>
    <row r="49" spans="5:62" s="144" customFormat="1" ht="11.25">
      <c r="E49" s="104"/>
      <c r="F49" s="104"/>
      <c r="G49" s="104"/>
      <c r="H49" s="104"/>
      <c r="W49" s="104"/>
      <c r="X49" s="104"/>
      <c r="Y49" s="104"/>
      <c r="Z49" s="104"/>
      <c r="BG49" s="104"/>
      <c r="BH49" s="104"/>
      <c r="BI49" s="104"/>
      <c r="BJ49" s="104"/>
    </row>
    <row r="50" spans="5:62" s="144" customFormat="1" ht="11.25">
      <c r="E50" s="104"/>
      <c r="F50" s="104"/>
      <c r="G50" s="104"/>
      <c r="H50" s="104"/>
      <c r="W50" s="104"/>
      <c r="X50" s="104"/>
      <c r="Y50" s="104"/>
      <c r="Z50" s="104"/>
      <c r="BG50" s="104"/>
      <c r="BH50" s="104"/>
      <c r="BI50" s="104"/>
      <c r="BJ50" s="104"/>
    </row>
    <row r="51" spans="5:62" s="144" customFormat="1" ht="11.25">
      <c r="E51" s="104"/>
      <c r="F51" s="104"/>
      <c r="G51" s="104"/>
      <c r="H51" s="104"/>
      <c r="W51" s="104"/>
      <c r="X51" s="104"/>
      <c r="Y51" s="104"/>
      <c r="Z51" s="104"/>
      <c r="BG51" s="104"/>
      <c r="BH51" s="104"/>
      <c r="BI51" s="104"/>
      <c r="BJ51" s="104"/>
    </row>
    <row r="52" spans="5:62" s="144" customFormat="1" ht="11.25">
      <c r="E52" s="104"/>
      <c r="F52" s="104"/>
      <c r="G52" s="104"/>
      <c r="H52" s="104"/>
      <c r="W52" s="104"/>
      <c r="X52" s="104"/>
      <c r="Y52" s="104"/>
      <c r="Z52" s="104"/>
      <c r="BG52" s="104"/>
      <c r="BH52" s="104"/>
      <c r="BI52" s="104"/>
      <c r="BJ52" s="104"/>
    </row>
    <row r="53" spans="5:62" s="144" customFormat="1" ht="11.25">
      <c r="E53" s="104"/>
      <c r="F53" s="104"/>
      <c r="G53" s="104"/>
      <c r="H53" s="104"/>
      <c r="W53" s="104"/>
      <c r="X53" s="104"/>
      <c r="Y53" s="104"/>
      <c r="Z53" s="104"/>
      <c r="BG53" s="104"/>
      <c r="BH53" s="104"/>
      <c r="BI53" s="104"/>
      <c r="BJ53" s="104"/>
    </row>
    <row r="54" spans="5:62" s="144" customFormat="1" ht="11.25">
      <c r="E54" s="104"/>
      <c r="F54" s="104"/>
      <c r="G54" s="104"/>
      <c r="H54" s="104"/>
      <c r="W54" s="104"/>
      <c r="X54" s="104"/>
      <c r="Y54" s="104"/>
      <c r="Z54" s="104"/>
      <c r="BG54" s="104"/>
      <c r="BH54" s="104"/>
      <c r="BI54" s="104"/>
      <c r="BJ54" s="104"/>
    </row>
    <row r="55" spans="5:62" s="144" customFormat="1" ht="11.25">
      <c r="E55" s="104"/>
      <c r="F55" s="104"/>
      <c r="G55" s="104"/>
      <c r="H55" s="104"/>
      <c r="W55" s="104"/>
      <c r="X55" s="104"/>
      <c r="Y55" s="104"/>
      <c r="Z55" s="104"/>
      <c r="BG55" s="104"/>
      <c r="BH55" s="104"/>
      <c r="BI55" s="104"/>
      <c r="BJ55" s="104"/>
    </row>
    <row r="56" spans="5:62" s="144" customFormat="1" ht="11.25">
      <c r="E56" s="104"/>
      <c r="F56" s="104"/>
      <c r="G56" s="104"/>
      <c r="H56" s="104"/>
      <c r="W56" s="104"/>
      <c r="X56" s="104"/>
      <c r="Y56" s="104"/>
      <c r="Z56" s="104"/>
      <c r="BG56" s="104"/>
      <c r="BH56" s="104"/>
      <c r="BI56" s="104"/>
      <c r="BJ56" s="104"/>
    </row>
    <row r="57" spans="5:62" s="144" customFormat="1" ht="11.25">
      <c r="E57" s="104"/>
      <c r="F57" s="104"/>
      <c r="G57" s="104"/>
      <c r="H57" s="104"/>
      <c r="W57" s="104"/>
      <c r="X57" s="104"/>
      <c r="Y57" s="104"/>
      <c r="Z57" s="104"/>
      <c r="BG57" s="104"/>
      <c r="BH57" s="104"/>
      <c r="BI57" s="104"/>
      <c r="BJ57" s="104"/>
    </row>
    <row r="58" spans="5:62" s="144" customFormat="1" ht="11.25">
      <c r="E58" s="104"/>
      <c r="F58" s="104"/>
      <c r="G58" s="104"/>
      <c r="H58" s="104"/>
      <c r="W58" s="104"/>
      <c r="X58" s="104"/>
      <c r="Y58" s="104"/>
      <c r="Z58" s="104"/>
      <c r="BG58" s="104"/>
      <c r="BH58" s="104"/>
      <c r="BI58" s="104"/>
      <c r="BJ58" s="104"/>
    </row>
    <row r="59" spans="5:62" s="144" customFormat="1" ht="11.25">
      <c r="E59" s="104"/>
      <c r="F59" s="104"/>
      <c r="G59" s="104"/>
      <c r="H59" s="104"/>
      <c r="W59" s="104"/>
      <c r="X59" s="104"/>
      <c r="Y59" s="104"/>
      <c r="Z59" s="104"/>
      <c r="BG59" s="104"/>
      <c r="BH59" s="104"/>
      <c r="BI59" s="104"/>
      <c r="BJ59" s="104"/>
    </row>
    <row r="60" spans="5:62" s="144" customFormat="1" ht="11.25">
      <c r="E60" s="104"/>
      <c r="F60" s="104"/>
      <c r="G60" s="104"/>
      <c r="H60" s="104"/>
      <c r="W60" s="104"/>
      <c r="X60" s="104"/>
      <c r="Y60" s="104"/>
      <c r="Z60" s="104"/>
      <c r="BG60" s="104"/>
      <c r="BH60" s="104"/>
      <c r="BI60" s="104"/>
      <c r="BJ60" s="104"/>
    </row>
    <row r="61" spans="5:62" s="144" customFormat="1" ht="11.25">
      <c r="E61" s="104"/>
      <c r="F61" s="104"/>
      <c r="G61" s="104"/>
      <c r="H61" s="104"/>
      <c r="W61" s="104"/>
      <c r="X61" s="104"/>
      <c r="Y61" s="104"/>
      <c r="Z61" s="104"/>
      <c r="BG61" s="104"/>
      <c r="BH61" s="104"/>
      <c r="BI61" s="104"/>
      <c r="BJ61" s="104"/>
    </row>
    <row r="62" spans="5:62" s="144" customFormat="1" ht="11.25">
      <c r="E62" s="104"/>
      <c r="F62" s="104"/>
      <c r="G62" s="104"/>
      <c r="H62" s="104"/>
      <c r="W62" s="104"/>
      <c r="X62" s="104"/>
      <c r="Y62" s="104"/>
      <c r="Z62" s="104"/>
      <c r="BG62" s="104"/>
      <c r="BH62" s="104"/>
      <c r="BI62" s="104"/>
      <c r="BJ62" s="104"/>
    </row>
    <row r="63" spans="5:62" s="144" customFormat="1" ht="11.25">
      <c r="E63" s="104"/>
      <c r="F63" s="104"/>
      <c r="G63" s="104"/>
      <c r="H63" s="104"/>
      <c r="W63" s="104"/>
      <c r="X63" s="104"/>
      <c r="Y63" s="104"/>
      <c r="Z63" s="104"/>
      <c r="BG63" s="104"/>
      <c r="BH63" s="104"/>
      <c r="BI63" s="104"/>
      <c r="BJ63" s="104"/>
    </row>
    <row r="64" spans="5:62" s="144" customFormat="1" ht="11.25">
      <c r="E64" s="104"/>
      <c r="F64" s="104"/>
      <c r="G64" s="104"/>
      <c r="H64" s="104"/>
      <c r="W64" s="104"/>
      <c r="X64" s="104"/>
      <c r="Y64" s="104"/>
      <c r="Z64" s="104"/>
      <c r="BG64" s="104"/>
      <c r="BH64" s="104"/>
      <c r="BI64" s="104"/>
      <c r="BJ64" s="104"/>
    </row>
    <row r="65" spans="5:62" s="144" customFormat="1" ht="11.25">
      <c r="E65" s="104"/>
      <c r="F65" s="104"/>
      <c r="G65" s="104"/>
      <c r="H65" s="104"/>
      <c r="W65" s="104"/>
      <c r="X65" s="104"/>
      <c r="Y65" s="104"/>
      <c r="Z65" s="104"/>
      <c r="BG65" s="104"/>
      <c r="BH65" s="104"/>
      <c r="BI65" s="104"/>
      <c r="BJ65" s="104"/>
    </row>
    <row r="66" spans="5:62" s="144" customFormat="1" ht="11.25">
      <c r="E66" s="104"/>
      <c r="F66" s="104"/>
      <c r="G66" s="104"/>
      <c r="H66" s="104"/>
      <c r="W66" s="104"/>
      <c r="X66" s="104"/>
      <c r="Y66" s="104"/>
      <c r="Z66" s="104"/>
      <c r="BG66" s="104"/>
      <c r="BH66" s="104"/>
      <c r="BI66" s="104"/>
      <c r="BJ66" s="104"/>
    </row>
    <row r="67" spans="5:62" s="144" customFormat="1" ht="11.25">
      <c r="E67" s="104"/>
      <c r="F67" s="104"/>
      <c r="G67" s="104"/>
      <c r="H67" s="104"/>
      <c r="W67" s="104"/>
      <c r="X67" s="104"/>
      <c r="Y67" s="104"/>
      <c r="Z67" s="104"/>
      <c r="BG67" s="104"/>
      <c r="BH67" s="104"/>
      <c r="BI67" s="104"/>
      <c r="BJ67" s="104"/>
    </row>
    <row r="68" spans="5:62" s="144" customFormat="1" ht="11.25">
      <c r="E68" s="104"/>
      <c r="F68" s="104"/>
      <c r="G68" s="104"/>
      <c r="H68" s="104"/>
      <c r="W68" s="104"/>
      <c r="X68" s="104"/>
      <c r="Y68" s="104"/>
      <c r="Z68" s="104"/>
      <c r="BG68" s="104"/>
      <c r="BH68" s="104"/>
      <c r="BI68" s="104"/>
      <c r="BJ68" s="104"/>
    </row>
    <row r="69" spans="5:62" s="144" customFormat="1" ht="11.25">
      <c r="E69" s="104"/>
      <c r="F69" s="104"/>
      <c r="G69" s="104"/>
      <c r="H69" s="104"/>
      <c r="W69" s="104"/>
      <c r="X69" s="104"/>
      <c r="Y69" s="104"/>
      <c r="Z69" s="104"/>
      <c r="BG69" s="104"/>
      <c r="BH69" s="104"/>
      <c r="BI69" s="104"/>
      <c r="BJ69" s="104"/>
    </row>
    <row r="70" spans="5:62" s="144" customFormat="1" ht="11.25">
      <c r="E70" s="104"/>
      <c r="F70" s="104"/>
      <c r="G70" s="104"/>
      <c r="H70" s="104"/>
      <c r="W70" s="104"/>
      <c r="X70" s="104"/>
      <c r="Y70" s="104"/>
      <c r="Z70" s="104"/>
      <c r="BG70" s="104"/>
      <c r="BH70" s="104"/>
      <c r="BI70" s="104"/>
      <c r="BJ70" s="104"/>
    </row>
    <row r="71" spans="5:62" s="144" customFormat="1" ht="11.25">
      <c r="E71" s="104"/>
      <c r="F71" s="104"/>
      <c r="G71" s="104"/>
      <c r="H71" s="104"/>
      <c r="W71" s="104"/>
      <c r="X71" s="104"/>
      <c r="Y71" s="104"/>
      <c r="Z71" s="104"/>
      <c r="BG71" s="104"/>
      <c r="BH71" s="104"/>
      <c r="BI71" s="104"/>
      <c r="BJ71" s="104"/>
    </row>
    <row r="72" spans="5:62" s="144" customFormat="1" ht="11.25">
      <c r="E72" s="104"/>
      <c r="F72" s="104"/>
      <c r="G72" s="104"/>
      <c r="H72" s="104"/>
      <c r="W72" s="104"/>
      <c r="X72" s="104"/>
      <c r="Y72" s="104"/>
      <c r="Z72" s="104"/>
      <c r="BG72" s="104"/>
      <c r="BH72" s="104"/>
      <c r="BI72" s="104"/>
      <c r="BJ72" s="104"/>
    </row>
    <row r="73" spans="5:62" s="144" customFormat="1" ht="11.25">
      <c r="E73" s="104"/>
      <c r="F73" s="104"/>
      <c r="G73" s="104"/>
      <c r="H73" s="104"/>
      <c r="W73" s="104"/>
      <c r="X73" s="104"/>
      <c r="Y73" s="104"/>
      <c r="Z73" s="104"/>
      <c r="BG73" s="104"/>
      <c r="BH73" s="104"/>
      <c r="BI73" s="104"/>
      <c r="BJ73" s="104"/>
    </row>
    <row r="74" spans="5:62" s="144" customFormat="1" ht="11.25">
      <c r="E74" s="104"/>
      <c r="F74" s="104"/>
      <c r="G74" s="104"/>
      <c r="H74" s="104"/>
      <c r="W74" s="104"/>
      <c r="X74" s="104"/>
      <c r="Y74" s="104"/>
      <c r="Z74" s="104"/>
      <c r="BG74" s="104"/>
      <c r="BH74" s="104"/>
      <c r="BI74" s="104"/>
      <c r="BJ74" s="104"/>
    </row>
    <row r="75" spans="5:62" s="144" customFormat="1" ht="11.25">
      <c r="E75" s="104"/>
      <c r="F75" s="104"/>
      <c r="G75" s="104"/>
      <c r="H75" s="104"/>
      <c r="W75" s="104"/>
      <c r="X75" s="104"/>
      <c r="Y75" s="104"/>
      <c r="Z75" s="104"/>
      <c r="BG75" s="104"/>
      <c r="BH75" s="104"/>
      <c r="BI75" s="104"/>
      <c r="BJ75" s="104"/>
    </row>
    <row r="76" spans="5:62" s="144" customFormat="1" ht="11.25">
      <c r="E76" s="104"/>
      <c r="F76" s="104"/>
      <c r="G76" s="104"/>
      <c r="H76" s="104"/>
      <c r="W76" s="104"/>
      <c r="X76" s="104"/>
      <c r="Y76" s="104"/>
      <c r="Z76" s="104"/>
      <c r="BG76" s="104"/>
      <c r="BH76" s="104"/>
      <c r="BI76" s="104"/>
      <c r="BJ76" s="104"/>
    </row>
    <row r="77" spans="5:62" s="144" customFormat="1" ht="11.25">
      <c r="E77" s="104"/>
      <c r="F77" s="104"/>
      <c r="G77" s="104"/>
      <c r="H77" s="104"/>
      <c r="W77" s="104"/>
      <c r="X77" s="104"/>
      <c r="Y77" s="104"/>
      <c r="Z77" s="104"/>
      <c r="BG77" s="104"/>
      <c r="BH77" s="104"/>
      <c r="BI77" s="104"/>
      <c r="BJ77" s="104"/>
    </row>
    <row r="78" spans="5:62" s="144" customFormat="1" ht="11.25">
      <c r="E78" s="104"/>
      <c r="F78" s="104"/>
      <c r="G78" s="104"/>
      <c r="H78" s="104"/>
      <c r="W78" s="104"/>
      <c r="X78" s="104"/>
      <c r="Y78" s="104"/>
      <c r="Z78" s="104"/>
      <c r="BG78" s="104"/>
      <c r="BH78" s="104"/>
      <c r="BI78" s="104"/>
      <c r="BJ78" s="104"/>
    </row>
  </sheetData>
  <mergeCells count="11">
    <mergeCell ref="BV1:CM1"/>
    <mergeCell ref="BV2:BW2"/>
    <mergeCell ref="BD2:BE2"/>
    <mergeCell ref="AL2:AM2"/>
    <mergeCell ref="AL1:BC1"/>
    <mergeCell ref="BD1:BU1"/>
    <mergeCell ref="B2:C2"/>
    <mergeCell ref="A1:A2"/>
    <mergeCell ref="T2:U2"/>
    <mergeCell ref="B1:S1"/>
    <mergeCell ref="T1:AK1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E18"/>
  <sheetViews>
    <sheetView workbookViewId="0" topLeftCell="A1">
      <pane xSplit="1" ySplit="2" topLeftCell="BO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L20" sqref="BL20"/>
    </sheetView>
  </sheetViews>
  <sheetFormatPr defaultColWidth="9.140625" defaultRowHeight="12.75"/>
  <cols>
    <col min="1" max="1" width="12.57421875" style="11" customWidth="1"/>
    <col min="2" max="2" width="5.8515625" style="3" customWidth="1"/>
    <col min="3" max="3" width="5.28125" style="3" customWidth="1"/>
    <col min="4" max="4" width="7.8515625" style="3" customWidth="1"/>
    <col min="5" max="7" width="7.8515625" style="103" customWidth="1"/>
    <col min="8" max="16" width="7.8515625" style="11" customWidth="1"/>
    <col min="17" max="18" width="6.57421875" style="11" customWidth="1"/>
    <col min="19" max="20" width="5.28125" style="3" customWidth="1"/>
    <col min="21" max="21" width="6.57421875" style="3" customWidth="1"/>
    <col min="22" max="22" width="7.8515625" style="105" customWidth="1"/>
    <col min="23" max="24" width="6.57421875" style="105" customWidth="1"/>
    <col min="25" max="26" width="6.57421875" style="11" customWidth="1"/>
    <col min="27" max="27" width="6.8515625" style="11" customWidth="1"/>
    <col min="28" max="35" width="6.57421875" style="11" customWidth="1"/>
    <col min="36" max="36" width="5.00390625" style="11" customWidth="1"/>
    <col min="37" max="37" width="5.28125" style="11" customWidth="1"/>
    <col min="38" max="52" width="7.8515625" style="11" customWidth="1"/>
    <col min="53" max="53" width="5.8515625" style="11" bestFit="1" customWidth="1"/>
    <col min="54" max="54" width="5.8515625" style="11" customWidth="1"/>
    <col min="55" max="55" width="7.8515625" style="11" customWidth="1"/>
    <col min="56" max="56" width="6.57421875" style="11" customWidth="1"/>
    <col min="57" max="59" width="7.8515625" style="11" customWidth="1"/>
    <col min="60" max="60" width="6.57421875" style="11" customWidth="1"/>
    <col min="61" max="61" width="7.7109375" style="11" customWidth="1"/>
    <col min="62" max="69" width="6.57421875" style="11" customWidth="1"/>
    <col min="70" max="70" width="5.8515625" style="11" customWidth="1"/>
    <col min="71" max="71" width="5.28125" style="11" customWidth="1"/>
    <col min="72" max="85" width="7.8515625" style="11" customWidth="1"/>
    <col min="86" max="86" width="1.8515625" style="391" customWidth="1"/>
    <col min="87" max="97" width="9.140625" style="391" customWidth="1"/>
    <col min="98" max="16384" width="9.140625" style="11" customWidth="1"/>
  </cols>
  <sheetData>
    <row r="1" spans="1:109" s="826" customFormat="1" ht="13.5" thickBot="1">
      <c r="A1" s="1938" t="s">
        <v>47</v>
      </c>
      <c r="B1" s="1927" t="s">
        <v>0</v>
      </c>
      <c r="C1" s="1928"/>
      <c r="D1" s="1928"/>
      <c r="E1" s="1928"/>
      <c r="F1" s="1928"/>
      <c r="G1" s="1928"/>
      <c r="H1" s="1928"/>
      <c r="I1" s="1928"/>
      <c r="J1" s="1928"/>
      <c r="K1" s="1928"/>
      <c r="L1" s="1928"/>
      <c r="M1" s="1928"/>
      <c r="N1" s="1928"/>
      <c r="O1" s="1928"/>
      <c r="P1" s="1928"/>
      <c r="Q1" s="1928"/>
      <c r="R1" s="1940"/>
      <c r="S1" s="1988" t="s">
        <v>1</v>
      </c>
      <c r="T1" s="1989"/>
      <c r="U1" s="1989"/>
      <c r="V1" s="1989"/>
      <c r="W1" s="1989"/>
      <c r="X1" s="1989"/>
      <c r="Y1" s="1989"/>
      <c r="Z1" s="1989"/>
      <c r="AA1" s="1989"/>
      <c r="AB1" s="1989"/>
      <c r="AC1" s="1989"/>
      <c r="AD1" s="1989"/>
      <c r="AE1" s="1989"/>
      <c r="AF1" s="1989"/>
      <c r="AG1" s="1989"/>
      <c r="AH1" s="1989"/>
      <c r="AI1" s="1990"/>
      <c r="AJ1" s="1993" t="s">
        <v>2</v>
      </c>
      <c r="AK1" s="1959"/>
      <c r="AL1" s="1959"/>
      <c r="AM1" s="1959"/>
      <c r="AN1" s="1959"/>
      <c r="AO1" s="1959"/>
      <c r="AP1" s="1959"/>
      <c r="AQ1" s="1959"/>
      <c r="AR1" s="1959"/>
      <c r="AS1" s="1959"/>
      <c r="AT1" s="1959"/>
      <c r="AU1" s="1959"/>
      <c r="AV1" s="1959"/>
      <c r="AW1" s="1959"/>
      <c r="AX1" s="1959"/>
      <c r="AY1" s="1959"/>
      <c r="AZ1" s="1960"/>
      <c r="BA1" s="1935" t="s">
        <v>3</v>
      </c>
      <c r="BB1" s="1936"/>
      <c r="BC1" s="1936"/>
      <c r="BD1" s="1936"/>
      <c r="BE1" s="1936"/>
      <c r="BF1" s="1936"/>
      <c r="BG1" s="1936"/>
      <c r="BH1" s="1936"/>
      <c r="BI1" s="1936"/>
      <c r="BJ1" s="1936"/>
      <c r="BK1" s="1936"/>
      <c r="BL1" s="1936"/>
      <c r="BM1" s="1936"/>
      <c r="BN1" s="1936"/>
      <c r="BO1" s="1936"/>
      <c r="BP1" s="1936"/>
      <c r="BQ1" s="1937"/>
      <c r="BR1" s="1927" t="s">
        <v>4</v>
      </c>
      <c r="BS1" s="1928"/>
      <c r="BT1" s="1928"/>
      <c r="BU1" s="1928"/>
      <c r="BV1" s="1928"/>
      <c r="BW1" s="1928"/>
      <c r="BX1" s="1928"/>
      <c r="BY1" s="1928"/>
      <c r="BZ1" s="1928"/>
      <c r="CA1" s="1928"/>
      <c r="CB1" s="1928"/>
      <c r="CC1" s="1928"/>
      <c r="CD1" s="1928"/>
      <c r="CE1" s="1928"/>
      <c r="CF1" s="1928"/>
      <c r="CG1" s="1928"/>
      <c r="CH1" s="934"/>
      <c r="CI1" s="934"/>
      <c r="CJ1" s="934"/>
      <c r="CK1" s="934"/>
      <c r="CL1" s="934"/>
      <c r="CM1" s="934"/>
      <c r="CN1" s="934"/>
      <c r="CO1" s="934"/>
      <c r="CP1" s="934"/>
      <c r="CQ1" s="934"/>
      <c r="CR1" s="934"/>
      <c r="CS1" s="934"/>
      <c r="CT1" s="934"/>
      <c r="CU1" s="934"/>
      <c r="CV1" s="934"/>
      <c r="CW1" s="934"/>
      <c r="CX1" s="934"/>
      <c r="CY1" s="934"/>
      <c r="CZ1" s="934"/>
      <c r="DA1" s="934"/>
      <c r="DB1" s="934"/>
      <c r="DC1" s="934"/>
      <c r="DD1" s="934"/>
      <c r="DE1" s="934"/>
    </row>
    <row r="2" spans="1:109" s="1492" customFormat="1" ht="23.25" customHeight="1" thickBot="1">
      <c r="A2" s="1987"/>
      <c r="B2" s="1976" t="s">
        <v>181</v>
      </c>
      <c r="C2" s="1977"/>
      <c r="D2" s="162" t="s">
        <v>182</v>
      </c>
      <c r="E2" s="162">
        <v>2008</v>
      </c>
      <c r="F2" s="162">
        <v>2007</v>
      </c>
      <c r="G2" s="162">
        <v>2006</v>
      </c>
      <c r="H2" s="162">
        <v>2005</v>
      </c>
      <c r="I2" s="268">
        <v>2004</v>
      </c>
      <c r="J2" s="268" t="s">
        <v>5</v>
      </c>
      <c r="K2" s="268" t="s">
        <v>6</v>
      </c>
      <c r="L2" s="268">
        <v>2001</v>
      </c>
      <c r="M2" s="268" t="s">
        <v>7</v>
      </c>
      <c r="N2" s="268" t="s">
        <v>8</v>
      </c>
      <c r="O2" s="268" t="s">
        <v>9</v>
      </c>
      <c r="P2" s="268" t="s">
        <v>10</v>
      </c>
      <c r="Q2" s="268" t="s">
        <v>11</v>
      </c>
      <c r="R2" s="269" t="s">
        <v>12</v>
      </c>
      <c r="S2" s="1991" t="s">
        <v>181</v>
      </c>
      <c r="T2" s="1992"/>
      <c r="U2" s="163" t="s">
        <v>182</v>
      </c>
      <c r="V2" s="163">
        <v>2008</v>
      </c>
      <c r="W2" s="163">
        <v>2007</v>
      </c>
      <c r="X2" s="163">
        <v>2006</v>
      </c>
      <c r="Y2" s="163">
        <v>2005</v>
      </c>
      <c r="Z2" s="167">
        <v>2004</v>
      </c>
      <c r="AA2" s="167" t="s">
        <v>5</v>
      </c>
      <c r="AB2" s="167" t="s">
        <v>6</v>
      </c>
      <c r="AC2" s="167">
        <v>2001</v>
      </c>
      <c r="AD2" s="167" t="s">
        <v>7</v>
      </c>
      <c r="AE2" s="167" t="s">
        <v>8</v>
      </c>
      <c r="AF2" s="167" t="s">
        <v>9</v>
      </c>
      <c r="AG2" s="167" t="s">
        <v>10</v>
      </c>
      <c r="AH2" s="167" t="s">
        <v>11</v>
      </c>
      <c r="AI2" s="1344" t="s">
        <v>12</v>
      </c>
      <c r="AJ2" s="1994" t="s">
        <v>188</v>
      </c>
      <c r="AK2" s="1995"/>
      <c r="AL2" s="86" t="s">
        <v>182</v>
      </c>
      <c r="AM2" s="86">
        <v>2008</v>
      </c>
      <c r="AN2" s="1134">
        <v>2007</v>
      </c>
      <c r="AO2" s="1134">
        <v>2006</v>
      </c>
      <c r="AP2" s="1134">
        <v>2005</v>
      </c>
      <c r="AQ2" s="1135">
        <v>2004</v>
      </c>
      <c r="AR2" s="1136" t="s">
        <v>5</v>
      </c>
      <c r="AS2" s="1136" t="s">
        <v>6</v>
      </c>
      <c r="AT2" s="1136">
        <v>2001</v>
      </c>
      <c r="AU2" s="1136" t="s">
        <v>7</v>
      </c>
      <c r="AV2" s="1136" t="s">
        <v>8</v>
      </c>
      <c r="AW2" s="1136" t="s">
        <v>9</v>
      </c>
      <c r="AX2" s="1136" t="s">
        <v>10</v>
      </c>
      <c r="AY2" s="1136" t="s">
        <v>11</v>
      </c>
      <c r="AZ2" s="1136" t="s">
        <v>12</v>
      </c>
      <c r="BA2" s="1978" t="s">
        <v>181</v>
      </c>
      <c r="BB2" s="1979"/>
      <c r="BC2" s="89" t="s">
        <v>182</v>
      </c>
      <c r="BD2" s="80">
        <v>2008</v>
      </c>
      <c r="BE2" s="80">
        <v>2007</v>
      </c>
      <c r="BF2" s="80">
        <v>2006</v>
      </c>
      <c r="BG2" s="80">
        <v>2005</v>
      </c>
      <c r="BH2" s="112">
        <v>2004</v>
      </c>
      <c r="BI2" s="112" t="s">
        <v>5</v>
      </c>
      <c r="BJ2" s="112" t="s">
        <v>6</v>
      </c>
      <c r="BK2" s="112">
        <v>2001</v>
      </c>
      <c r="BL2" s="112" t="s">
        <v>7</v>
      </c>
      <c r="BM2" s="112" t="s">
        <v>8</v>
      </c>
      <c r="BN2" s="112" t="s">
        <v>9</v>
      </c>
      <c r="BO2" s="112" t="s">
        <v>10</v>
      </c>
      <c r="BP2" s="112" t="s">
        <v>11</v>
      </c>
      <c r="BQ2" s="112" t="s">
        <v>12</v>
      </c>
      <c r="BR2" s="1976" t="s">
        <v>181</v>
      </c>
      <c r="BS2" s="1977"/>
      <c r="BT2" s="79" t="s">
        <v>182</v>
      </c>
      <c r="BU2" s="79">
        <v>2008</v>
      </c>
      <c r="BV2" s="79">
        <v>2007</v>
      </c>
      <c r="BW2" s="79">
        <v>2006</v>
      </c>
      <c r="BX2" s="166">
        <v>2004</v>
      </c>
      <c r="BY2" s="166" t="s">
        <v>5</v>
      </c>
      <c r="BZ2" s="166" t="s">
        <v>6</v>
      </c>
      <c r="CA2" s="166">
        <v>2001</v>
      </c>
      <c r="CB2" s="166" t="s">
        <v>7</v>
      </c>
      <c r="CC2" s="166" t="s">
        <v>8</v>
      </c>
      <c r="CD2" s="166" t="s">
        <v>9</v>
      </c>
      <c r="CE2" s="166" t="s">
        <v>10</v>
      </c>
      <c r="CF2" s="166" t="s">
        <v>11</v>
      </c>
      <c r="CG2" s="1313" t="s">
        <v>12</v>
      </c>
      <c r="CH2" s="934"/>
      <c r="CI2" s="934"/>
      <c r="CJ2" s="934"/>
      <c r="CK2" s="934"/>
      <c r="CL2" s="934"/>
      <c r="CM2" s="934"/>
      <c r="CN2" s="934"/>
      <c r="CO2" s="934"/>
      <c r="CP2" s="934"/>
      <c r="CQ2" s="934"/>
      <c r="CR2" s="934"/>
      <c r="CS2" s="934"/>
      <c r="CT2" s="934"/>
      <c r="CU2" s="934"/>
      <c r="CV2" s="934"/>
      <c r="CW2" s="934"/>
      <c r="CX2" s="934"/>
      <c r="CY2" s="934"/>
      <c r="CZ2" s="934"/>
      <c r="DA2" s="934"/>
      <c r="DB2" s="934"/>
      <c r="DC2" s="934"/>
      <c r="DD2" s="934"/>
      <c r="DE2" s="934"/>
    </row>
    <row r="3" spans="1:109" s="827" customFormat="1" ht="23.25" thickBot="1">
      <c r="A3" s="309"/>
      <c r="B3" s="299">
        <v>2007</v>
      </c>
      <c r="C3" s="291" t="s">
        <v>26</v>
      </c>
      <c r="D3" s="291"/>
      <c r="E3" s="291"/>
      <c r="F3" s="291"/>
      <c r="G3" s="291"/>
      <c r="H3" s="291"/>
      <c r="I3" s="1493"/>
      <c r="J3" s="627"/>
      <c r="K3" s="627"/>
      <c r="L3" s="627"/>
      <c r="M3" s="627"/>
      <c r="N3" s="627"/>
      <c r="O3" s="627"/>
      <c r="P3" s="627"/>
      <c r="Q3" s="627"/>
      <c r="R3" s="628"/>
      <c r="S3" s="299">
        <v>2007</v>
      </c>
      <c r="T3" s="291" t="s">
        <v>26</v>
      </c>
      <c r="U3" s="291"/>
      <c r="V3" s="291"/>
      <c r="W3" s="291"/>
      <c r="X3" s="291"/>
      <c r="Y3" s="291"/>
      <c r="Z3" s="1493"/>
      <c r="AA3" s="627"/>
      <c r="AB3" s="627"/>
      <c r="AC3" s="627"/>
      <c r="AD3" s="627"/>
      <c r="AE3" s="627"/>
      <c r="AF3" s="627"/>
      <c r="AG3" s="627"/>
      <c r="AH3" s="627"/>
      <c r="AI3" s="628"/>
      <c r="AJ3" s="299">
        <v>2007</v>
      </c>
      <c r="AK3" s="291" t="s">
        <v>189</v>
      </c>
      <c r="AL3" s="291"/>
      <c r="AM3" s="291"/>
      <c r="AN3" s="291"/>
      <c r="AO3" s="291"/>
      <c r="AP3" s="291"/>
      <c r="AQ3" s="627"/>
      <c r="AR3" s="627"/>
      <c r="AS3" s="627"/>
      <c r="AT3" s="627"/>
      <c r="AU3" s="627"/>
      <c r="AV3" s="627"/>
      <c r="AW3" s="627"/>
      <c r="AX3" s="627"/>
      <c r="AY3" s="627"/>
      <c r="AZ3" s="628"/>
      <c r="BA3" s="299">
        <v>2007</v>
      </c>
      <c r="BB3" s="291" t="s">
        <v>26</v>
      </c>
      <c r="BC3" s="291"/>
      <c r="BD3" s="291"/>
      <c r="BE3" s="291"/>
      <c r="BF3" s="461"/>
      <c r="BG3" s="461"/>
      <c r="BH3" s="634"/>
      <c r="BI3" s="634"/>
      <c r="BJ3" s="634"/>
      <c r="BK3" s="634"/>
      <c r="BL3" s="634"/>
      <c r="BM3" s="634"/>
      <c r="BN3" s="634"/>
      <c r="BO3" s="634"/>
      <c r="BP3" s="634"/>
      <c r="BQ3" s="634"/>
      <c r="BR3" s="299">
        <v>2007</v>
      </c>
      <c r="BS3" s="291" t="s">
        <v>26</v>
      </c>
      <c r="BT3" s="291"/>
      <c r="BU3" s="291"/>
      <c r="BV3" s="291"/>
      <c r="BW3" s="606"/>
      <c r="BX3" s="1488"/>
      <c r="BY3" s="1487"/>
      <c r="BZ3" s="1487"/>
      <c r="CA3" s="1487"/>
      <c r="CB3" s="1487"/>
      <c r="CC3" s="1487"/>
      <c r="CD3" s="1487"/>
      <c r="CE3" s="1487"/>
      <c r="CF3" s="1487"/>
      <c r="CG3" s="1487"/>
      <c r="CH3" s="1145"/>
      <c r="CI3" s="1145"/>
      <c r="CJ3" s="1145"/>
      <c r="CK3" s="1145"/>
      <c r="CL3" s="1145"/>
      <c r="CM3" s="1145"/>
      <c r="CN3" s="1145"/>
      <c r="CO3" s="935"/>
      <c r="CP3" s="935"/>
      <c r="CQ3" s="935"/>
      <c r="CR3" s="935"/>
      <c r="CS3" s="935"/>
      <c r="CT3" s="935"/>
      <c r="CU3" s="935"/>
      <c r="CV3" s="935"/>
      <c r="CW3" s="935"/>
      <c r="CX3" s="935"/>
      <c r="CY3" s="935"/>
      <c r="CZ3" s="935"/>
      <c r="DA3" s="935"/>
      <c r="DB3" s="935"/>
      <c r="DC3" s="935"/>
      <c r="DD3" s="935"/>
      <c r="DE3" s="935"/>
    </row>
    <row r="4" spans="1:109" s="826" customFormat="1" ht="12.75">
      <c r="A4" s="1137" t="s">
        <v>13</v>
      </c>
      <c r="B4" s="235">
        <f aca="true" t="shared" si="0" ref="B4:B9">SUM(E4-F4)/F4</f>
        <v>-0.13780064876839496</v>
      </c>
      <c r="C4" s="236">
        <f aca="true" t="shared" si="1" ref="C4:C9">SUM(E4-D4)/D4</f>
        <v>0.07205395541316686</v>
      </c>
      <c r="D4" s="237">
        <f>AVERAGE(F4:J4)</f>
        <v>243964.4</v>
      </c>
      <c r="E4" s="197">
        <v>261543</v>
      </c>
      <c r="F4" s="237">
        <v>303344</v>
      </c>
      <c r="G4" s="237">
        <v>293855</v>
      </c>
      <c r="H4" s="237">
        <v>252785</v>
      </c>
      <c r="I4" s="665">
        <v>201652</v>
      </c>
      <c r="J4" s="197">
        <v>168186</v>
      </c>
      <c r="K4" s="197">
        <v>180528</v>
      </c>
      <c r="L4" s="197">
        <v>194738</v>
      </c>
      <c r="M4" s="197">
        <v>178672</v>
      </c>
      <c r="N4" s="197">
        <v>169397</v>
      </c>
      <c r="O4" s="197">
        <v>144758</v>
      </c>
      <c r="P4" s="197">
        <v>123456</v>
      </c>
      <c r="Q4" s="197">
        <v>109235</v>
      </c>
      <c r="R4" s="802">
        <v>104774</v>
      </c>
      <c r="S4" s="1122">
        <f aca="true" t="shared" si="2" ref="S4:S9">SUM(V4-W4)/W4</f>
        <v>0.12363586003139138</v>
      </c>
      <c r="T4" s="1123">
        <f aca="true" t="shared" si="3" ref="T4:T9">SUM(V4-U4)/U4</f>
        <v>0.44802501481328133</v>
      </c>
      <c r="U4" s="1124">
        <f>AVERAGE(W4:AA4)</f>
        <v>84046.2</v>
      </c>
      <c r="V4" s="1138">
        <v>121701</v>
      </c>
      <c r="W4" s="1138">
        <v>108310</v>
      </c>
      <c r="X4" s="1124">
        <v>99740</v>
      </c>
      <c r="Y4" s="1124">
        <v>81580</v>
      </c>
      <c r="Z4" s="1125">
        <v>72975</v>
      </c>
      <c r="AA4" s="1126">
        <v>57626</v>
      </c>
      <c r="AB4" s="1126">
        <v>70944</v>
      </c>
      <c r="AC4" s="1126">
        <v>77073</v>
      </c>
      <c r="AD4" s="1126">
        <v>80091</v>
      </c>
      <c r="AE4" s="1126">
        <v>77676</v>
      </c>
      <c r="AF4" s="1126">
        <v>72420</v>
      </c>
      <c r="AG4" s="1126">
        <v>78965</v>
      </c>
      <c r="AH4" s="1126">
        <v>87554</v>
      </c>
      <c r="AI4" s="1127">
        <v>74091</v>
      </c>
      <c r="AJ4" s="713">
        <f aca="true" t="shared" si="4" ref="AJ4:AJ9">SUM(AM4-AN4)/AN4</f>
        <v>-0.06901426926496523</v>
      </c>
      <c r="AK4" s="966">
        <f aca="true" t="shared" si="5" ref="AK4:AK9">SUM(AM4-AL4)/AL4</f>
        <v>0.16838907035321427</v>
      </c>
      <c r="AL4" s="463">
        <f aca="true" t="shared" si="6" ref="AL4:AL9">AVERAGE(AN4:AR4)</f>
        <v>328010.6</v>
      </c>
      <c r="AM4" s="975">
        <f aca="true" t="shared" si="7" ref="AM4:AM9">+E4+V4</f>
        <v>383244</v>
      </c>
      <c r="AN4" s="975">
        <f aca="true" t="shared" si="8" ref="AN4:AN15">+F4+W4</f>
        <v>411654</v>
      </c>
      <c r="AO4" s="975">
        <f aca="true" t="shared" si="9" ref="AO4:AO15">+G4+X4</f>
        <v>393595</v>
      </c>
      <c r="AP4" s="975">
        <f aca="true" t="shared" si="10" ref="AP4:AP15">+H4+Y4</f>
        <v>334365</v>
      </c>
      <c r="AQ4" s="975">
        <f aca="true" t="shared" si="11" ref="AQ4:AQ15">+I4+Z4</f>
        <v>274627</v>
      </c>
      <c r="AR4" s="975">
        <f aca="true" t="shared" si="12" ref="AR4:AR15">+J4+AA4</f>
        <v>225812</v>
      </c>
      <c r="AS4" s="975">
        <f aca="true" t="shared" si="13" ref="AS4:AS15">+K4+AB4</f>
        <v>251472</v>
      </c>
      <c r="AT4" s="975">
        <f aca="true" t="shared" si="14" ref="AT4:AT15">+L4+AC4</f>
        <v>271811</v>
      </c>
      <c r="AU4" s="975">
        <f aca="true" t="shared" si="15" ref="AU4:AU15">+M4+AD4</f>
        <v>258763</v>
      </c>
      <c r="AV4" s="975">
        <f aca="true" t="shared" si="16" ref="AV4:AV15">+N4+AE4</f>
        <v>247073</v>
      </c>
      <c r="AW4" s="975">
        <f aca="true" t="shared" si="17" ref="AW4:AW15">+O4+AF4</f>
        <v>217178</v>
      </c>
      <c r="AX4" s="975">
        <f aca="true" t="shared" si="18" ref="AX4:AX15">+P4+AG4</f>
        <v>202421</v>
      </c>
      <c r="AY4" s="975">
        <f aca="true" t="shared" si="19" ref="AY4:AY15">+Q4+AH4</f>
        <v>196789</v>
      </c>
      <c r="AZ4" s="976">
        <f aca="true" t="shared" si="20" ref="AZ4:AZ15">+R4+AI4</f>
        <v>178865</v>
      </c>
      <c r="BA4" s="1118">
        <f aca="true" t="shared" si="21" ref="BA4:BA9">SUM(BD4-BE4)/BE4</f>
        <v>-0.23199955509829548</v>
      </c>
      <c r="BB4" s="969">
        <f aca="true" t="shared" si="22" ref="BB4:BB9">SUM(BD4-BC4)/BC4</f>
        <v>-0.08151429293533927</v>
      </c>
      <c r="BC4" s="948">
        <f>AVERAGE(BE4:BI4)</f>
        <v>150354</v>
      </c>
      <c r="BD4" s="755">
        <v>138098</v>
      </c>
      <c r="BE4" s="755">
        <v>179815</v>
      </c>
      <c r="BF4" s="948">
        <v>185860</v>
      </c>
      <c r="BG4" s="1116">
        <v>175232</v>
      </c>
      <c r="BH4" s="794">
        <v>102329</v>
      </c>
      <c r="BI4" s="794">
        <v>108534</v>
      </c>
      <c r="BJ4" s="794">
        <v>93173</v>
      </c>
      <c r="BK4" s="794">
        <v>82622</v>
      </c>
      <c r="BL4" s="794">
        <v>80380</v>
      </c>
      <c r="BM4" s="794">
        <v>72239</v>
      </c>
      <c r="BN4" s="794">
        <v>71096</v>
      </c>
      <c r="BO4" s="794">
        <v>41484</v>
      </c>
      <c r="BP4" s="794">
        <v>31147</v>
      </c>
      <c r="BQ4" s="949">
        <v>36030</v>
      </c>
      <c r="BR4" s="235">
        <f aca="true" t="shared" si="23" ref="BR4:BR9">SUM(BU4-BV4)/BV4</f>
        <v>-0.11856411747699372</v>
      </c>
      <c r="BS4" s="236">
        <f aca="true" t="shared" si="24" ref="BS4:BS9">SUM(BU4-BT4)/BT4</f>
        <v>0.0898423503745888</v>
      </c>
      <c r="BT4" s="237">
        <f>AVERAGE(BV4:BZ4)</f>
        <v>478364.6</v>
      </c>
      <c r="BU4" s="197">
        <f aca="true" t="shared" si="25" ref="BU4:CE5">+AM4+BD4</f>
        <v>521342</v>
      </c>
      <c r="BV4" s="197">
        <f t="shared" si="25"/>
        <v>591469</v>
      </c>
      <c r="BW4" s="197">
        <f t="shared" si="25"/>
        <v>579455</v>
      </c>
      <c r="BX4" s="197">
        <f t="shared" si="25"/>
        <v>509597</v>
      </c>
      <c r="BY4" s="197">
        <f t="shared" si="25"/>
        <v>376956</v>
      </c>
      <c r="BZ4" s="197">
        <f t="shared" si="25"/>
        <v>334346</v>
      </c>
      <c r="CA4" s="197">
        <f t="shared" si="25"/>
        <v>344645</v>
      </c>
      <c r="CB4" s="197">
        <f t="shared" si="25"/>
        <v>354433</v>
      </c>
      <c r="CC4" s="197">
        <f t="shared" si="25"/>
        <v>339143</v>
      </c>
      <c r="CD4" s="197">
        <f t="shared" si="25"/>
        <v>319312</v>
      </c>
      <c r="CE4" s="197">
        <f t="shared" si="25"/>
        <v>288274</v>
      </c>
      <c r="CF4" s="197">
        <f aca="true" t="shared" si="26" ref="CF4:CF15">+AX4+BO4</f>
        <v>243905</v>
      </c>
      <c r="CG4" s="198">
        <f aca="true" t="shared" si="27" ref="CG4:CG15">+AY4+BP4</f>
        <v>227936</v>
      </c>
      <c r="CH4" s="1139"/>
      <c r="CI4" s="1139"/>
      <c r="CJ4" s="1139"/>
      <c r="CK4" s="1139"/>
      <c r="CL4" s="1139"/>
      <c r="CM4" s="1139"/>
      <c r="CN4" s="1139"/>
      <c r="CO4" s="934"/>
      <c r="CP4" s="934"/>
      <c r="CQ4" s="934"/>
      <c r="CR4" s="934"/>
      <c r="CS4" s="934"/>
      <c r="CT4" s="934"/>
      <c r="CU4" s="934"/>
      <c r="CV4" s="934"/>
      <c r="CW4" s="934"/>
      <c r="CX4" s="934"/>
      <c r="CY4" s="934"/>
      <c r="CZ4" s="934"/>
      <c r="DA4" s="934"/>
      <c r="DB4" s="934"/>
      <c r="DC4" s="934"/>
      <c r="DD4" s="934"/>
      <c r="DE4" s="934"/>
    </row>
    <row r="5" spans="1:109" s="826" customFormat="1" ht="12.75">
      <c r="A5" s="1140" t="s">
        <v>14</v>
      </c>
      <c r="B5" s="52">
        <f t="shared" si="0"/>
        <v>-0.07573384831460674</v>
      </c>
      <c r="C5" s="29">
        <f t="shared" si="1"/>
        <v>0.19610656817822428</v>
      </c>
      <c r="D5" s="30">
        <f aca="true" t="shared" si="28" ref="D5:D16">AVERAGE(F5:J5)</f>
        <v>220073.2</v>
      </c>
      <c r="E5" s="30">
        <v>263231</v>
      </c>
      <c r="F5" s="30">
        <v>284800</v>
      </c>
      <c r="G5" s="30">
        <v>252463</v>
      </c>
      <c r="H5" s="121">
        <v>250245</v>
      </c>
      <c r="I5" s="121">
        <v>153995</v>
      </c>
      <c r="J5" s="121">
        <v>158863</v>
      </c>
      <c r="K5" s="121">
        <v>202276</v>
      </c>
      <c r="L5" s="121">
        <v>155148</v>
      </c>
      <c r="M5" s="121">
        <v>177362</v>
      </c>
      <c r="N5" s="121">
        <v>172482</v>
      </c>
      <c r="O5" s="121">
        <v>132117</v>
      </c>
      <c r="P5" s="121">
        <v>126804</v>
      </c>
      <c r="Q5" s="121">
        <v>113349</v>
      </c>
      <c r="R5" s="803">
        <v>99121</v>
      </c>
      <c r="S5" s="1128">
        <f t="shared" si="2"/>
        <v>0.3609481125537125</v>
      </c>
      <c r="T5" s="93">
        <f t="shared" si="3"/>
        <v>0.6232120144692087</v>
      </c>
      <c r="U5" s="94">
        <f aca="true" t="shared" si="29" ref="U5:U16">AVERAGE(W5:AA5)</f>
        <v>90730.6</v>
      </c>
      <c r="V5" s="1141">
        <v>147275</v>
      </c>
      <c r="W5" s="1141">
        <v>108215</v>
      </c>
      <c r="X5" s="94">
        <v>109963</v>
      </c>
      <c r="Y5" s="94">
        <v>90867</v>
      </c>
      <c r="Z5" s="667">
        <v>76963</v>
      </c>
      <c r="AA5" s="667">
        <v>67645</v>
      </c>
      <c r="AB5" s="667">
        <v>83333</v>
      </c>
      <c r="AC5" s="667">
        <v>75520</v>
      </c>
      <c r="AD5" s="667">
        <v>81893</v>
      </c>
      <c r="AE5" s="667">
        <v>80000</v>
      </c>
      <c r="AF5" s="667">
        <v>77303</v>
      </c>
      <c r="AG5" s="667">
        <v>87586</v>
      </c>
      <c r="AH5" s="667">
        <v>90233</v>
      </c>
      <c r="AI5" s="1129">
        <v>81879</v>
      </c>
      <c r="AJ5" s="714">
        <f t="shared" si="4"/>
        <v>0.044504662671908196</v>
      </c>
      <c r="AK5" s="390">
        <f t="shared" si="5"/>
        <v>0.3207882271709677</v>
      </c>
      <c r="AL5" s="76">
        <f t="shared" si="6"/>
        <v>310803.8</v>
      </c>
      <c r="AM5" s="668">
        <f t="shared" si="7"/>
        <v>410506</v>
      </c>
      <c r="AN5" s="668">
        <f t="shared" si="8"/>
        <v>393015</v>
      </c>
      <c r="AO5" s="668">
        <f t="shared" si="9"/>
        <v>362426</v>
      </c>
      <c r="AP5" s="668">
        <f t="shared" si="10"/>
        <v>341112</v>
      </c>
      <c r="AQ5" s="668">
        <f t="shared" si="11"/>
        <v>230958</v>
      </c>
      <c r="AR5" s="668">
        <f t="shared" si="12"/>
        <v>226508</v>
      </c>
      <c r="AS5" s="668">
        <f t="shared" si="13"/>
        <v>285609</v>
      </c>
      <c r="AT5" s="668">
        <f t="shared" si="14"/>
        <v>230668</v>
      </c>
      <c r="AU5" s="668">
        <f t="shared" si="15"/>
        <v>259255</v>
      </c>
      <c r="AV5" s="668">
        <f t="shared" si="16"/>
        <v>252482</v>
      </c>
      <c r="AW5" s="668">
        <f t="shared" si="17"/>
        <v>209420</v>
      </c>
      <c r="AX5" s="668">
        <f t="shared" si="18"/>
        <v>214390</v>
      </c>
      <c r="AY5" s="668">
        <f t="shared" si="19"/>
        <v>203582</v>
      </c>
      <c r="AZ5" s="977">
        <f t="shared" si="20"/>
        <v>181000</v>
      </c>
      <c r="BA5" s="964">
        <f t="shared" si="21"/>
        <v>-0.195669044261045</v>
      </c>
      <c r="BB5" s="37">
        <f t="shared" si="22"/>
        <v>-0.06578161519542146</v>
      </c>
      <c r="BC5" s="38">
        <f aca="true" t="shared" si="30" ref="BC5:BC16">AVERAGE(BE5:BI5)</f>
        <v>127585.8</v>
      </c>
      <c r="BD5" s="1142">
        <v>119193</v>
      </c>
      <c r="BE5" s="1142">
        <v>148189</v>
      </c>
      <c r="BF5" s="38">
        <v>153038</v>
      </c>
      <c r="BG5" s="38">
        <v>156813</v>
      </c>
      <c r="BH5" s="123">
        <v>83791</v>
      </c>
      <c r="BI5" s="123">
        <v>96098</v>
      </c>
      <c r="BJ5" s="123">
        <v>77374</v>
      </c>
      <c r="BK5" s="123">
        <v>81044</v>
      </c>
      <c r="BL5" s="123">
        <v>75961</v>
      </c>
      <c r="BM5" s="123">
        <v>71647</v>
      </c>
      <c r="BN5" s="123">
        <v>66756</v>
      </c>
      <c r="BO5" s="123">
        <v>35884</v>
      </c>
      <c r="BP5" s="123">
        <v>23322</v>
      </c>
      <c r="BQ5" s="669">
        <v>35102</v>
      </c>
      <c r="BR5" s="52">
        <f t="shared" si="23"/>
        <v>-0.02125815773719337</v>
      </c>
      <c r="BS5" s="29">
        <f t="shared" si="24"/>
        <v>0.2082836819121622</v>
      </c>
      <c r="BT5" s="30">
        <f aca="true" t="shared" si="31" ref="BT5:BT16">AVERAGE(BV5:BZ5)</f>
        <v>438389.6</v>
      </c>
      <c r="BU5" s="121">
        <f t="shared" si="25"/>
        <v>529699</v>
      </c>
      <c r="BV5" s="121">
        <f aca="true" t="shared" si="32" ref="BV5:BV16">+AN5+BE5</f>
        <v>541204</v>
      </c>
      <c r="BW5" s="121">
        <f aca="true" t="shared" si="33" ref="BW5:BW16">+AO5+BF5</f>
        <v>515464</v>
      </c>
      <c r="BX5" s="121">
        <f aca="true" t="shared" si="34" ref="BX5:BX16">+AP5+BG5</f>
        <v>497925</v>
      </c>
      <c r="BY5" s="121">
        <f aca="true" t="shared" si="35" ref="BY5:BY16">+AQ5+BH5</f>
        <v>314749</v>
      </c>
      <c r="BZ5" s="121">
        <f aca="true" t="shared" si="36" ref="BZ5:BZ16">+AR5+BI5</f>
        <v>322606</v>
      </c>
      <c r="CA5" s="121">
        <f aca="true" t="shared" si="37" ref="CA5:CA16">+AS5+BJ5</f>
        <v>362983</v>
      </c>
      <c r="CB5" s="121">
        <f aca="true" t="shared" si="38" ref="CB5:CB16">+AT5+BK5</f>
        <v>311712</v>
      </c>
      <c r="CC5" s="121">
        <f aca="true" t="shared" si="39" ref="CC5:CC16">+AU5+BL5</f>
        <v>335216</v>
      </c>
      <c r="CD5" s="121">
        <f aca="true" t="shared" si="40" ref="CD5:CD16">+AV5+BM5</f>
        <v>324129</v>
      </c>
      <c r="CE5" s="121">
        <f aca="true" t="shared" si="41" ref="CE5:CE16">+AW5+BN5</f>
        <v>276176</v>
      </c>
      <c r="CF5" s="121">
        <f t="shared" si="26"/>
        <v>250274</v>
      </c>
      <c r="CG5" s="122">
        <f t="shared" si="27"/>
        <v>226904</v>
      </c>
      <c r="CH5" s="1139"/>
      <c r="CI5" s="1139"/>
      <c r="CJ5" s="1139"/>
      <c r="CK5" s="1139"/>
      <c r="CL5" s="1139"/>
      <c r="CM5" s="1139"/>
      <c r="CN5" s="1139"/>
      <c r="CO5" s="934"/>
      <c r="CP5" s="934"/>
      <c r="CQ5" s="934"/>
      <c r="CR5" s="934"/>
      <c r="CS5" s="934"/>
      <c r="CT5" s="934"/>
      <c r="CU5" s="934"/>
      <c r="CV5" s="934"/>
      <c r="CW5" s="934"/>
      <c r="CX5" s="934"/>
      <c r="CY5" s="934"/>
      <c r="CZ5" s="934"/>
      <c r="DA5" s="934"/>
      <c r="DB5" s="934"/>
      <c r="DC5" s="934"/>
      <c r="DD5" s="934"/>
      <c r="DE5" s="934"/>
    </row>
    <row r="6" spans="1:97" s="826" customFormat="1" ht="12.75">
      <c r="A6" s="1140" t="s">
        <v>15</v>
      </c>
      <c r="B6" s="52">
        <f t="shared" si="0"/>
        <v>-0.09751065225812061</v>
      </c>
      <c r="C6" s="29">
        <f t="shared" si="1"/>
        <v>-0.016532122246907654</v>
      </c>
      <c r="D6" s="30">
        <f t="shared" si="28"/>
        <v>232166.2</v>
      </c>
      <c r="E6" s="1489">
        <v>228328</v>
      </c>
      <c r="F6" s="1489">
        <v>252998</v>
      </c>
      <c r="G6" s="30">
        <v>282440</v>
      </c>
      <c r="H6" s="30">
        <v>210093</v>
      </c>
      <c r="I6" s="121">
        <v>235500</v>
      </c>
      <c r="J6" s="121">
        <v>179800</v>
      </c>
      <c r="K6" s="121">
        <v>171874</v>
      </c>
      <c r="L6" s="121">
        <v>195605</v>
      </c>
      <c r="M6" s="121">
        <v>178489</v>
      </c>
      <c r="N6" s="121">
        <v>171913</v>
      </c>
      <c r="O6" s="121">
        <v>167712</v>
      </c>
      <c r="P6" s="121">
        <v>125040</v>
      </c>
      <c r="Q6" s="121">
        <v>101338</v>
      </c>
      <c r="R6" s="803">
        <v>94125</v>
      </c>
      <c r="S6" s="1128">
        <f t="shared" si="2"/>
        <v>0.2959475499685332</v>
      </c>
      <c r="T6" s="93">
        <f t="shared" si="3"/>
        <v>0.545215009232593</v>
      </c>
      <c r="U6" s="94">
        <f t="shared" si="29"/>
        <v>105279.2</v>
      </c>
      <c r="V6" s="1343">
        <v>162679</v>
      </c>
      <c r="W6" s="1343">
        <v>125529</v>
      </c>
      <c r="X6" s="94">
        <v>118728</v>
      </c>
      <c r="Y6" s="94">
        <v>104519</v>
      </c>
      <c r="Z6" s="667">
        <v>94823</v>
      </c>
      <c r="AA6" s="667">
        <v>82797</v>
      </c>
      <c r="AB6" s="667">
        <v>87845</v>
      </c>
      <c r="AC6" s="667">
        <v>84349</v>
      </c>
      <c r="AD6" s="667">
        <v>97871</v>
      </c>
      <c r="AE6" s="667">
        <v>88699</v>
      </c>
      <c r="AF6" s="667">
        <v>88518</v>
      </c>
      <c r="AG6" s="667">
        <v>106556</v>
      </c>
      <c r="AH6" s="667">
        <v>101382</v>
      </c>
      <c r="AI6" s="1129">
        <v>83964</v>
      </c>
      <c r="AJ6" s="714">
        <f t="shared" si="4"/>
        <v>0.03296990703437271</v>
      </c>
      <c r="AK6" s="390">
        <f t="shared" si="5"/>
        <v>0.15872671549234327</v>
      </c>
      <c r="AL6" s="76">
        <f t="shared" si="6"/>
        <v>337445.4</v>
      </c>
      <c r="AM6" s="668">
        <f t="shared" si="7"/>
        <v>391007</v>
      </c>
      <c r="AN6" s="668">
        <f t="shared" si="8"/>
        <v>378527</v>
      </c>
      <c r="AO6" s="668">
        <f t="shared" si="9"/>
        <v>401168</v>
      </c>
      <c r="AP6" s="668">
        <f t="shared" si="10"/>
        <v>314612</v>
      </c>
      <c r="AQ6" s="668">
        <f t="shared" si="11"/>
        <v>330323</v>
      </c>
      <c r="AR6" s="668">
        <f t="shared" si="12"/>
        <v>262597</v>
      </c>
      <c r="AS6" s="668">
        <f t="shared" si="13"/>
        <v>259719</v>
      </c>
      <c r="AT6" s="668">
        <f t="shared" si="14"/>
        <v>279954</v>
      </c>
      <c r="AU6" s="668">
        <f t="shared" si="15"/>
        <v>276360</v>
      </c>
      <c r="AV6" s="668">
        <f t="shared" si="16"/>
        <v>260612</v>
      </c>
      <c r="AW6" s="668">
        <f t="shared" si="17"/>
        <v>256230</v>
      </c>
      <c r="AX6" s="668">
        <f t="shared" si="18"/>
        <v>231596</v>
      </c>
      <c r="AY6" s="668">
        <f t="shared" si="19"/>
        <v>202720</v>
      </c>
      <c r="AZ6" s="977">
        <f t="shared" si="20"/>
        <v>178089</v>
      </c>
      <c r="BA6" s="964">
        <f t="shared" si="21"/>
        <v>-0.3412043301759134</v>
      </c>
      <c r="BB6" s="37">
        <f t="shared" si="22"/>
        <v>-0.219362907657615</v>
      </c>
      <c r="BC6" s="38">
        <f t="shared" si="30"/>
        <v>137204.6</v>
      </c>
      <c r="BD6" s="1142">
        <v>107107</v>
      </c>
      <c r="BE6" s="1142">
        <v>162580</v>
      </c>
      <c r="BF6" s="38">
        <v>160026</v>
      </c>
      <c r="BG6" s="38">
        <v>151407</v>
      </c>
      <c r="BH6" s="123">
        <v>118075</v>
      </c>
      <c r="BI6" s="123">
        <v>93935</v>
      </c>
      <c r="BJ6" s="123">
        <v>83887</v>
      </c>
      <c r="BK6" s="123">
        <v>80325</v>
      </c>
      <c r="BL6" s="123">
        <v>74404</v>
      </c>
      <c r="BM6" s="123">
        <v>87362</v>
      </c>
      <c r="BN6" s="123">
        <v>77104</v>
      </c>
      <c r="BO6" s="123">
        <v>42326</v>
      </c>
      <c r="BP6" s="123">
        <v>27480</v>
      </c>
      <c r="BQ6" s="669">
        <v>28349</v>
      </c>
      <c r="BR6" s="52">
        <f t="shared" si="23"/>
        <v>-0.07945378640453736</v>
      </c>
      <c r="BS6" s="29">
        <f t="shared" si="24"/>
        <v>0.04943432002528179</v>
      </c>
      <c r="BT6" s="30">
        <f>AVERAGE(BV6:BZ6)</f>
        <v>474650</v>
      </c>
      <c r="BU6" s="121">
        <f>+AM6+BD6</f>
        <v>498114</v>
      </c>
      <c r="BV6" s="121">
        <f t="shared" si="32"/>
        <v>541107</v>
      </c>
      <c r="BW6" s="121">
        <f t="shared" si="33"/>
        <v>561194</v>
      </c>
      <c r="BX6" s="121">
        <f t="shared" si="34"/>
        <v>466019</v>
      </c>
      <c r="BY6" s="121">
        <f t="shared" si="35"/>
        <v>448398</v>
      </c>
      <c r="BZ6" s="121">
        <f t="shared" si="36"/>
        <v>356532</v>
      </c>
      <c r="CA6" s="121">
        <f t="shared" si="37"/>
        <v>343606</v>
      </c>
      <c r="CB6" s="121">
        <f t="shared" si="38"/>
        <v>360279</v>
      </c>
      <c r="CC6" s="121">
        <f t="shared" si="39"/>
        <v>350764</v>
      </c>
      <c r="CD6" s="121">
        <f t="shared" si="40"/>
        <v>347974</v>
      </c>
      <c r="CE6" s="121">
        <f t="shared" si="41"/>
        <v>333334</v>
      </c>
      <c r="CF6" s="121">
        <f t="shared" si="26"/>
        <v>273922</v>
      </c>
      <c r="CG6" s="122">
        <f t="shared" si="27"/>
        <v>230200</v>
      </c>
      <c r="CH6" s="1139"/>
      <c r="CI6" s="1139"/>
      <c r="CJ6" s="1139"/>
      <c r="CK6" s="1139"/>
      <c r="CL6" s="1139"/>
      <c r="CM6" s="1139"/>
      <c r="CN6" s="1139"/>
      <c r="CO6" s="934"/>
      <c r="CP6" s="934"/>
      <c r="CQ6" s="934"/>
      <c r="CR6" s="934"/>
      <c r="CS6" s="934"/>
    </row>
    <row r="7" spans="1:97" s="826" customFormat="1" ht="12.75">
      <c r="A7" s="1140" t="s">
        <v>16</v>
      </c>
      <c r="B7" s="52">
        <f t="shared" si="0"/>
        <v>-0.07450402127084034</v>
      </c>
      <c r="C7" s="29">
        <f t="shared" si="1"/>
        <v>0.06059242838478665</v>
      </c>
      <c r="D7" s="30">
        <f t="shared" si="28"/>
        <v>264524.8</v>
      </c>
      <c r="E7" s="1489">
        <v>280553</v>
      </c>
      <c r="F7" s="1489">
        <v>303138</v>
      </c>
      <c r="G7" s="30">
        <v>321044</v>
      </c>
      <c r="H7" s="30">
        <v>270920</v>
      </c>
      <c r="I7" s="121">
        <v>227046</v>
      </c>
      <c r="J7" s="121">
        <v>200476</v>
      </c>
      <c r="K7" s="121">
        <v>227953</v>
      </c>
      <c r="L7" s="121">
        <v>202575</v>
      </c>
      <c r="M7" s="121">
        <v>200724</v>
      </c>
      <c r="N7" s="121">
        <v>181575</v>
      </c>
      <c r="O7" s="121">
        <v>172247</v>
      </c>
      <c r="P7" s="121">
        <v>146110</v>
      </c>
      <c r="Q7" s="121">
        <v>127583</v>
      </c>
      <c r="R7" s="803">
        <v>110518</v>
      </c>
      <c r="S7" s="1128">
        <f t="shared" si="2"/>
        <v>0.3497454431434677</v>
      </c>
      <c r="T7" s="93">
        <f t="shared" si="3"/>
        <v>0.6500428708327028</v>
      </c>
      <c r="U7" s="94">
        <f t="shared" si="29"/>
        <v>99135</v>
      </c>
      <c r="V7" s="1343">
        <v>163577</v>
      </c>
      <c r="W7" s="1343">
        <v>121191</v>
      </c>
      <c r="X7" s="94">
        <v>111755</v>
      </c>
      <c r="Y7" s="94">
        <v>107609</v>
      </c>
      <c r="Z7" s="667">
        <v>79825</v>
      </c>
      <c r="AA7" s="667">
        <v>75295</v>
      </c>
      <c r="AB7" s="667">
        <v>87961</v>
      </c>
      <c r="AC7" s="667">
        <v>76624</v>
      </c>
      <c r="AD7" s="667">
        <v>91014</v>
      </c>
      <c r="AE7" s="667">
        <v>77040</v>
      </c>
      <c r="AF7" s="667">
        <v>87271</v>
      </c>
      <c r="AG7" s="667">
        <v>92893</v>
      </c>
      <c r="AH7" s="667">
        <v>100782</v>
      </c>
      <c r="AI7" s="1129">
        <v>86879</v>
      </c>
      <c r="AJ7" s="714">
        <f t="shared" si="4"/>
        <v>0.046664262871498295</v>
      </c>
      <c r="AK7" s="390">
        <f t="shared" si="5"/>
        <v>0.22127878858207592</v>
      </c>
      <c r="AL7" s="76">
        <f t="shared" si="6"/>
        <v>363659.8</v>
      </c>
      <c r="AM7" s="668">
        <f t="shared" si="7"/>
        <v>444130</v>
      </c>
      <c r="AN7" s="668">
        <f t="shared" si="8"/>
        <v>424329</v>
      </c>
      <c r="AO7" s="668">
        <f t="shared" si="9"/>
        <v>432799</v>
      </c>
      <c r="AP7" s="668">
        <f t="shared" si="10"/>
        <v>378529</v>
      </c>
      <c r="AQ7" s="668">
        <f t="shared" si="11"/>
        <v>306871</v>
      </c>
      <c r="AR7" s="668">
        <f t="shared" si="12"/>
        <v>275771</v>
      </c>
      <c r="AS7" s="668">
        <f t="shared" si="13"/>
        <v>315914</v>
      </c>
      <c r="AT7" s="668">
        <f t="shared" si="14"/>
        <v>279199</v>
      </c>
      <c r="AU7" s="668">
        <f t="shared" si="15"/>
        <v>291738</v>
      </c>
      <c r="AV7" s="668">
        <f t="shared" si="16"/>
        <v>258615</v>
      </c>
      <c r="AW7" s="668">
        <f t="shared" si="17"/>
        <v>259518</v>
      </c>
      <c r="AX7" s="668">
        <f t="shared" si="18"/>
        <v>239003</v>
      </c>
      <c r="AY7" s="668">
        <f t="shared" si="19"/>
        <v>228365</v>
      </c>
      <c r="AZ7" s="977">
        <f t="shared" si="20"/>
        <v>197397</v>
      </c>
      <c r="BA7" s="964">
        <f t="shared" si="21"/>
        <v>-0.27404361354627965</v>
      </c>
      <c r="BB7" s="37">
        <f t="shared" si="22"/>
        <v>-0.2609385433151594</v>
      </c>
      <c r="BC7" s="38">
        <f>AVERAGE(BE7:BI7)</f>
        <v>152159.2</v>
      </c>
      <c r="BD7" s="1142">
        <v>112455</v>
      </c>
      <c r="BE7" s="1142">
        <v>154906</v>
      </c>
      <c r="BF7" s="38">
        <v>186713</v>
      </c>
      <c r="BG7" s="38">
        <v>159972</v>
      </c>
      <c r="BH7" s="123">
        <v>134190</v>
      </c>
      <c r="BI7" s="123">
        <v>125015</v>
      </c>
      <c r="BJ7" s="123">
        <v>94286</v>
      </c>
      <c r="BK7" s="123">
        <v>87329</v>
      </c>
      <c r="BL7" s="123">
        <v>74727</v>
      </c>
      <c r="BM7" s="123">
        <v>81071</v>
      </c>
      <c r="BN7" s="123">
        <v>77406</v>
      </c>
      <c r="BO7" s="123">
        <v>37931</v>
      </c>
      <c r="BP7" s="123">
        <v>29775</v>
      </c>
      <c r="BQ7" s="669">
        <v>29534</v>
      </c>
      <c r="BR7" s="52">
        <f t="shared" si="23"/>
        <v>-0.039103300042297166</v>
      </c>
      <c r="BS7" s="29">
        <f t="shared" si="24"/>
        <v>0.07903159829319975</v>
      </c>
      <c r="BT7" s="30">
        <f>AVERAGE(BV7:BZ7)</f>
        <v>515819</v>
      </c>
      <c r="BU7" s="121">
        <f>+AM7+BD7</f>
        <v>556585</v>
      </c>
      <c r="BV7" s="121">
        <f t="shared" si="32"/>
        <v>579235</v>
      </c>
      <c r="BW7" s="121">
        <f t="shared" si="33"/>
        <v>619512</v>
      </c>
      <c r="BX7" s="121">
        <f t="shared" si="34"/>
        <v>538501</v>
      </c>
      <c r="BY7" s="121">
        <f t="shared" si="35"/>
        <v>441061</v>
      </c>
      <c r="BZ7" s="121">
        <f t="shared" si="36"/>
        <v>400786</v>
      </c>
      <c r="CA7" s="121">
        <f t="shared" si="37"/>
        <v>410200</v>
      </c>
      <c r="CB7" s="121">
        <f t="shared" si="38"/>
        <v>366528</v>
      </c>
      <c r="CC7" s="121">
        <f t="shared" si="39"/>
        <v>366465</v>
      </c>
      <c r="CD7" s="121">
        <f t="shared" si="40"/>
        <v>339686</v>
      </c>
      <c r="CE7" s="121">
        <f t="shared" si="41"/>
        <v>336924</v>
      </c>
      <c r="CF7" s="121">
        <f t="shared" si="26"/>
        <v>276934</v>
      </c>
      <c r="CG7" s="122">
        <f t="shared" si="27"/>
        <v>258140</v>
      </c>
      <c r="CH7" s="1139"/>
      <c r="CI7" s="1139"/>
      <c r="CJ7" s="1139"/>
      <c r="CK7" s="1139"/>
      <c r="CL7" s="1139"/>
      <c r="CM7" s="1139"/>
      <c r="CN7" s="1139"/>
      <c r="CO7" s="934"/>
      <c r="CP7" s="934"/>
      <c r="CQ7" s="934"/>
      <c r="CR7" s="934"/>
      <c r="CS7" s="934"/>
    </row>
    <row r="8" spans="1:97" s="826" customFormat="1" ht="12.75">
      <c r="A8" s="1140" t="s">
        <v>17</v>
      </c>
      <c r="B8" s="52">
        <f t="shared" si="0"/>
        <v>-0.15563716976246267</v>
      </c>
      <c r="C8" s="29">
        <f t="shared" si="1"/>
        <v>-0.025924490304454876</v>
      </c>
      <c r="D8" s="30">
        <f t="shared" si="28"/>
        <v>274497.2</v>
      </c>
      <c r="E8" s="1489">
        <v>267381</v>
      </c>
      <c r="F8" s="1489">
        <v>316666</v>
      </c>
      <c r="G8" s="30">
        <v>328314</v>
      </c>
      <c r="H8" s="30">
        <v>288031</v>
      </c>
      <c r="I8" s="670">
        <v>242910</v>
      </c>
      <c r="J8" s="121">
        <v>196565</v>
      </c>
      <c r="K8" s="121">
        <v>231382</v>
      </c>
      <c r="L8" s="121">
        <v>196120</v>
      </c>
      <c r="M8" s="121">
        <v>218016</v>
      </c>
      <c r="N8" s="121">
        <v>205640</v>
      </c>
      <c r="O8" s="121">
        <v>163640</v>
      </c>
      <c r="P8" s="121">
        <v>143330</v>
      </c>
      <c r="Q8" s="121">
        <v>120002</v>
      </c>
      <c r="R8" s="803">
        <v>113688</v>
      </c>
      <c r="S8" s="1128">
        <f t="shared" si="2"/>
        <v>0.24977766584553876</v>
      </c>
      <c r="T8" s="93">
        <f t="shared" si="3"/>
        <v>0.558796217221185</v>
      </c>
      <c r="U8" s="94">
        <f t="shared" si="29"/>
        <v>101872.2</v>
      </c>
      <c r="V8" s="1490">
        <v>158798</v>
      </c>
      <c r="W8" s="1490">
        <v>127061</v>
      </c>
      <c r="X8" s="94">
        <v>115158</v>
      </c>
      <c r="Y8" s="94">
        <v>106034</v>
      </c>
      <c r="Z8" s="667">
        <v>84502</v>
      </c>
      <c r="AA8" s="667">
        <v>76606</v>
      </c>
      <c r="AB8" s="667">
        <v>84062</v>
      </c>
      <c r="AC8" s="667">
        <v>81108</v>
      </c>
      <c r="AD8" s="667">
        <v>97770</v>
      </c>
      <c r="AE8" s="667">
        <v>87553</v>
      </c>
      <c r="AF8" s="667">
        <v>84381</v>
      </c>
      <c r="AG8" s="667">
        <v>91734</v>
      </c>
      <c r="AH8" s="667">
        <v>87242</v>
      </c>
      <c r="AI8" s="1129">
        <v>91226</v>
      </c>
      <c r="AJ8" s="714">
        <f t="shared" si="4"/>
        <v>-0.039546838484022837</v>
      </c>
      <c r="AK8" s="390">
        <f t="shared" si="5"/>
        <v>0.13234232113450237</v>
      </c>
      <c r="AL8" s="76">
        <f t="shared" si="6"/>
        <v>376369.4</v>
      </c>
      <c r="AM8" s="668">
        <f t="shared" si="7"/>
        <v>426179</v>
      </c>
      <c r="AN8" s="668">
        <f t="shared" si="8"/>
        <v>443727</v>
      </c>
      <c r="AO8" s="668">
        <f t="shared" si="9"/>
        <v>443472</v>
      </c>
      <c r="AP8" s="668">
        <f t="shared" si="10"/>
        <v>394065</v>
      </c>
      <c r="AQ8" s="668">
        <f t="shared" si="11"/>
        <v>327412</v>
      </c>
      <c r="AR8" s="668">
        <f t="shared" si="12"/>
        <v>273171</v>
      </c>
      <c r="AS8" s="668">
        <f t="shared" si="13"/>
        <v>315444</v>
      </c>
      <c r="AT8" s="668">
        <f t="shared" si="14"/>
        <v>277228</v>
      </c>
      <c r="AU8" s="668">
        <f t="shared" si="15"/>
        <v>315786</v>
      </c>
      <c r="AV8" s="668">
        <f t="shared" si="16"/>
        <v>293193</v>
      </c>
      <c r="AW8" s="668">
        <f t="shared" si="17"/>
        <v>248021</v>
      </c>
      <c r="AX8" s="668">
        <f t="shared" si="18"/>
        <v>235064</v>
      </c>
      <c r="AY8" s="668">
        <f t="shared" si="19"/>
        <v>207244</v>
      </c>
      <c r="AZ8" s="977">
        <f t="shared" si="20"/>
        <v>204914</v>
      </c>
      <c r="BA8" s="964">
        <f t="shared" si="21"/>
        <v>-0.3673006048151407</v>
      </c>
      <c r="BB8" s="37">
        <f t="shared" si="22"/>
        <v>-0.34897996393914227</v>
      </c>
      <c r="BC8" s="38">
        <f t="shared" si="30"/>
        <v>157955.2</v>
      </c>
      <c r="BD8" s="1491">
        <v>102832</v>
      </c>
      <c r="BE8" s="1491">
        <v>162529</v>
      </c>
      <c r="BF8" s="38">
        <v>200594</v>
      </c>
      <c r="BG8" s="38">
        <v>170821</v>
      </c>
      <c r="BH8" s="123">
        <v>140617</v>
      </c>
      <c r="BI8" s="123">
        <v>115215</v>
      </c>
      <c r="BJ8" s="123">
        <v>112589</v>
      </c>
      <c r="BK8" s="123">
        <v>90344</v>
      </c>
      <c r="BL8" s="123">
        <v>90986</v>
      </c>
      <c r="BM8" s="123">
        <v>101274</v>
      </c>
      <c r="BN8" s="123">
        <v>83598</v>
      </c>
      <c r="BO8" s="123">
        <v>42953</v>
      </c>
      <c r="BP8" s="123">
        <v>32777</v>
      </c>
      <c r="BQ8" s="669">
        <v>35462</v>
      </c>
      <c r="BR8" s="52">
        <f t="shared" si="23"/>
        <v>-0.12741317199334934</v>
      </c>
      <c r="BS8" s="29">
        <f t="shared" si="24"/>
        <v>-0.009944516872328125</v>
      </c>
      <c r="BT8" s="30">
        <f>AVERAGE(BV8:BZ8)</f>
        <v>534324.6</v>
      </c>
      <c r="BU8" s="121">
        <f>+AM8+BD8</f>
        <v>529011</v>
      </c>
      <c r="BV8" s="121">
        <f t="shared" si="32"/>
        <v>606256</v>
      </c>
      <c r="BW8" s="121">
        <f t="shared" si="33"/>
        <v>644066</v>
      </c>
      <c r="BX8" s="121">
        <f t="shared" si="34"/>
        <v>564886</v>
      </c>
      <c r="BY8" s="121">
        <f t="shared" si="35"/>
        <v>468029</v>
      </c>
      <c r="BZ8" s="121">
        <f t="shared" si="36"/>
        <v>388386</v>
      </c>
      <c r="CA8" s="121">
        <f t="shared" si="37"/>
        <v>428033</v>
      </c>
      <c r="CB8" s="121">
        <f t="shared" si="38"/>
        <v>367572</v>
      </c>
      <c r="CC8" s="121">
        <f t="shared" si="39"/>
        <v>406772</v>
      </c>
      <c r="CD8" s="121">
        <f t="shared" si="40"/>
        <v>394467</v>
      </c>
      <c r="CE8" s="121">
        <f t="shared" si="41"/>
        <v>331619</v>
      </c>
      <c r="CF8" s="121">
        <f t="shared" si="26"/>
        <v>278017</v>
      </c>
      <c r="CG8" s="122">
        <f t="shared" si="27"/>
        <v>240021</v>
      </c>
      <c r="CH8" s="1139"/>
      <c r="CI8" s="1139"/>
      <c r="CJ8" s="1139"/>
      <c r="CK8" s="1139"/>
      <c r="CL8" s="1139"/>
      <c r="CM8" s="1139"/>
      <c r="CN8" s="1139"/>
      <c r="CO8" s="934"/>
      <c r="CP8" s="934"/>
      <c r="CQ8" s="934"/>
      <c r="CR8" s="934"/>
      <c r="CS8" s="934"/>
    </row>
    <row r="9" spans="1:109" s="826" customFormat="1" ht="12.75">
      <c r="A9" s="1140" t="s">
        <v>18</v>
      </c>
      <c r="B9" s="52">
        <f t="shared" si="0"/>
        <v>-0.15047243607307953</v>
      </c>
      <c r="C9" s="29">
        <f t="shared" si="1"/>
        <v>0.016354646047644788</v>
      </c>
      <c r="D9" s="30">
        <f t="shared" si="28"/>
        <v>283699.2</v>
      </c>
      <c r="E9" s="1489">
        <v>288339</v>
      </c>
      <c r="F9" s="30">
        <v>339411</v>
      </c>
      <c r="G9" s="30">
        <v>319737</v>
      </c>
      <c r="H9" s="30">
        <v>294252</v>
      </c>
      <c r="I9" s="670">
        <v>260752</v>
      </c>
      <c r="J9" s="121">
        <v>204344</v>
      </c>
      <c r="K9" s="121">
        <v>236112</v>
      </c>
      <c r="L9" s="121">
        <v>202988</v>
      </c>
      <c r="M9" s="121">
        <v>203004</v>
      </c>
      <c r="N9" s="121">
        <v>194410</v>
      </c>
      <c r="O9" s="121">
        <v>183019</v>
      </c>
      <c r="P9" s="121">
        <v>165763</v>
      </c>
      <c r="Q9" s="121">
        <v>132419</v>
      </c>
      <c r="R9" s="803">
        <v>113419</v>
      </c>
      <c r="S9" s="1128">
        <f t="shared" si="2"/>
        <v>0.1362943100158193</v>
      </c>
      <c r="T9" s="93">
        <f t="shared" si="3"/>
        <v>0.6102182208586491</v>
      </c>
      <c r="U9" s="94">
        <f t="shared" si="29"/>
        <v>99477.2</v>
      </c>
      <c r="V9" s="1343">
        <v>160180</v>
      </c>
      <c r="W9" s="1343">
        <v>140967</v>
      </c>
      <c r="X9" s="94">
        <v>101828</v>
      </c>
      <c r="Y9" s="94">
        <v>101381</v>
      </c>
      <c r="Z9" s="666">
        <v>82218</v>
      </c>
      <c r="AA9" s="667">
        <v>70992</v>
      </c>
      <c r="AB9" s="667">
        <v>75814</v>
      </c>
      <c r="AC9" s="667">
        <v>78395</v>
      </c>
      <c r="AD9" s="667">
        <v>83305</v>
      </c>
      <c r="AE9" s="667">
        <v>78962</v>
      </c>
      <c r="AF9" s="667">
        <v>82615</v>
      </c>
      <c r="AG9" s="667">
        <v>100262</v>
      </c>
      <c r="AH9" s="667">
        <v>89889</v>
      </c>
      <c r="AI9" s="1129">
        <v>83817</v>
      </c>
      <c r="AJ9" s="714">
        <f t="shared" si="4"/>
        <v>-0.06632068912398154</v>
      </c>
      <c r="AK9" s="390">
        <f t="shared" si="5"/>
        <v>0.1705287695171205</v>
      </c>
      <c r="AL9" s="76">
        <f t="shared" si="6"/>
        <v>383176.4</v>
      </c>
      <c r="AM9" s="668">
        <f t="shared" si="7"/>
        <v>448519</v>
      </c>
      <c r="AN9" s="668">
        <f t="shared" si="8"/>
        <v>480378</v>
      </c>
      <c r="AO9" s="668">
        <f t="shared" si="9"/>
        <v>421565</v>
      </c>
      <c r="AP9" s="668">
        <f t="shared" si="10"/>
        <v>395633</v>
      </c>
      <c r="AQ9" s="668">
        <f t="shared" si="11"/>
        <v>342970</v>
      </c>
      <c r="AR9" s="668">
        <f t="shared" si="12"/>
        <v>275336</v>
      </c>
      <c r="AS9" s="668">
        <f t="shared" si="13"/>
        <v>311926</v>
      </c>
      <c r="AT9" s="668">
        <f t="shared" si="14"/>
        <v>281383</v>
      </c>
      <c r="AU9" s="668">
        <f t="shared" si="15"/>
        <v>286309</v>
      </c>
      <c r="AV9" s="668">
        <f t="shared" si="16"/>
        <v>273372</v>
      </c>
      <c r="AW9" s="668">
        <f t="shared" si="17"/>
        <v>265634</v>
      </c>
      <c r="AX9" s="668">
        <f t="shared" si="18"/>
        <v>266025</v>
      </c>
      <c r="AY9" s="668">
        <f t="shared" si="19"/>
        <v>222308</v>
      </c>
      <c r="AZ9" s="977">
        <f t="shared" si="20"/>
        <v>197236</v>
      </c>
      <c r="BA9" s="964">
        <f t="shared" si="21"/>
        <v>-0.2787325190688569</v>
      </c>
      <c r="BB9" s="37">
        <f t="shared" si="22"/>
        <v>-0.20081115632430163</v>
      </c>
      <c r="BC9" s="38">
        <f t="shared" si="30"/>
        <v>164111.4</v>
      </c>
      <c r="BD9" s="1491">
        <v>131156</v>
      </c>
      <c r="BE9" s="1491">
        <v>181841</v>
      </c>
      <c r="BF9" s="38">
        <v>195437</v>
      </c>
      <c r="BG9" s="38">
        <v>180971</v>
      </c>
      <c r="BH9" s="671">
        <v>151128</v>
      </c>
      <c r="BI9" s="123">
        <v>111180</v>
      </c>
      <c r="BJ9" s="123">
        <v>107051</v>
      </c>
      <c r="BK9" s="123">
        <v>81275</v>
      </c>
      <c r="BL9" s="123">
        <v>88586</v>
      </c>
      <c r="BM9" s="123">
        <v>100603</v>
      </c>
      <c r="BN9" s="123">
        <v>89402</v>
      </c>
      <c r="BO9" s="123">
        <v>43604</v>
      </c>
      <c r="BP9" s="123">
        <v>40016</v>
      </c>
      <c r="BQ9" s="669">
        <v>30462</v>
      </c>
      <c r="BR9" s="52">
        <f t="shared" si="23"/>
        <v>-0.12464758637248402</v>
      </c>
      <c r="BS9" s="29">
        <f t="shared" si="24"/>
        <v>0.05917763926036713</v>
      </c>
      <c r="BT9" s="30">
        <f>AVERAGE(BV9:BZ9)</f>
        <v>547287.8</v>
      </c>
      <c r="BU9" s="121">
        <f>+AM9+BD9</f>
        <v>579675</v>
      </c>
      <c r="BV9" s="121">
        <f t="shared" si="32"/>
        <v>662219</v>
      </c>
      <c r="BW9" s="121">
        <f t="shared" si="33"/>
        <v>617002</v>
      </c>
      <c r="BX9" s="121">
        <f t="shared" si="34"/>
        <v>576604</v>
      </c>
      <c r="BY9" s="121">
        <f t="shared" si="35"/>
        <v>494098</v>
      </c>
      <c r="BZ9" s="121">
        <f t="shared" si="36"/>
        <v>386516</v>
      </c>
      <c r="CA9" s="121">
        <f t="shared" si="37"/>
        <v>418977</v>
      </c>
      <c r="CB9" s="121">
        <f t="shared" si="38"/>
        <v>362658</v>
      </c>
      <c r="CC9" s="121">
        <f t="shared" si="39"/>
        <v>374895</v>
      </c>
      <c r="CD9" s="121">
        <f t="shared" si="40"/>
        <v>373975</v>
      </c>
      <c r="CE9" s="121">
        <f t="shared" si="41"/>
        <v>355036</v>
      </c>
      <c r="CF9" s="121">
        <f t="shared" si="26"/>
        <v>309629</v>
      </c>
      <c r="CG9" s="122">
        <f t="shared" si="27"/>
        <v>262324</v>
      </c>
      <c r="CH9" s="1139"/>
      <c r="CI9" s="1139"/>
      <c r="CJ9" s="1139"/>
      <c r="CK9" s="1139"/>
      <c r="CL9" s="1139"/>
      <c r="CM9" s="1139"/>
      <c r="CN9" s="1139"/>
      <c r="CO9" s="934"/>
      <c r="CP9" s="934"/>
      <c r="CQ9" s="934"/>
      <c r="CR9" s="934"/>
      <c r="CS9" s="934"/>
      <c r="CT9" s="934"/>
      <c r="CU9" s="934"/>
      <c r="CV9" s="934"/>
      <c r="CW9" s="934"/>
      <c r="CX9" s="934"/>
      <c r="CY9" s="934"/>
      <c r="CZ9" s="934"/>
      <c r="DA9" s="934"/>
      <c r="DB9" s="934"/>
      <c r="DC9" s="934"/>
      <c r="DD9" s="934"/>
      <c r="DE9" s="934"/>
    </row>
    <row r="10" spans="1:109" s="826" customFormat="1" ht="12.75">
      <c r="A10" s="1140" t="s">
        <v>19</v>
      </c>
      <c r="B10" s="52">
        <f>SUM(E10-F10)/F10</f>
        <v>-0.1806607661807089</v>
      </c>
      <c r="C10" s="29">
        <f>SUM(E10-D10)/D10</f>
        <v>-0.0543218895922977</v>
      </c>
      <c r="D10" s="30">
        <f t="shared" si="28"/>
        <v>287994.4</v>
      </c>
      <c r="E10" s="1489">
        <v>272350</v>
      </c>
      <c r="F10" s="30">
        <v>332402</v>
      </c>
      <c r="G10" s="30">
        <v>305117</v>
      </c>
      <c r="H10" s="30">
        <v>289518</v>
      </c>
      <c r="I10" s="670">
        <v>281817</v>
      </c>
      <c r="J10" s="121">
        <v>231118</v>
      </c>
      <c r="K10" s="121">
        <v>249618</v>
      </c>
      <c r="L10" s="121">
        <v>208179</v>
      </c>
      <c r="M10" s="121">
        <v>224865</v>
      </c>
      <c r="N10" s="121">
        <v>188586</v>
      </c>
      <c r="O10" s="121">
        <v>199138</v>
      </c>
      <c r="P10" s="121">
        <v>169964</v>
      </c>
      <c r="Q10" s="121">
        <v>146839</v>
      </c>
      <c r="R10" s="803">
        <v>127008</v>
      </c>
      <c r="S10" s="1128">
        <f>SUM(V10-W10)/W10</f>
        <v>0.13528118499655784</v>
      </c>
      <c r="T10" s="93">
        <f>SUM(V10-U10)/U10</f>
        <v>0.5146164177925259</v>
      </c>
      <c r="U10" s="94">
        <f t="shared" si="29"/>
        <v>101256</v>
      </c>
      <c r="V10" s="1343">
        <v>153364</v>
      </c>
      <c r="W10" s="94">
        <v>135089</v>
      </c>
      <c r="X10" s="94">
        <v>100861</v>
      </c>
      <c r="Y10" s="94">
        <v>106917</v>
      </c>
      <c r="Z10" s="666">
        <v>82441</v>
      </c>
      <c r="AA10" s="667">
        <v>80972</v>
      </c>
      <c r="AB10" s="94">
        <v>70500</v>
      </c>
      <c r="AC10" s="667">
        <v>77956</v>
      </c>
      <c r="AD10" s="667">
        <v>86874</v>
      </c>
      <c r="AE10" s="667">
        <v>74155</v>
      </c>
      <c r="AF10" s="667">
        <v>80950</v>
      </c>
      <c r="AG10" s="667">
        <v>96244</v>
      </c>
      <c r="AH10" s="667">
        <v>83146</v>
      </c>
      <c r="AI10" s="1129">
        <v>88173</v>
      </c>
      <c r="AJ10" s="714">
        <f>SUM(AM10-AN10)/AN10</f>
        <v>-0.08936428722691987</v>
      </c>
      <c r="AK10" s="390">
        <f>SUM(AM10-AL10)/AL10</f>
        <v>0.0936764612187938</v>
      </c>
      <c r="AL10" s="76">
        <f>AVERAGE(AN10:AR10)</f>
        <v>389250.4</v>
      </c>
      <c r="AM10" s="668">
        <f>+E10+V10</f>
        <v>425714</v>
      </c>
      <c r="AN10" s="668">
        <f t="shared" si="8"/>
        <v>467491</v>
      </c>
      <c r="AO10" s="668">
        <f t="shared" si="9"/>
        <v>405978</v>
      </c>
      <c r="AP10" s="668">
        <f t="shared" si="10"/>
        <v>396435</v>
      </c>
      <c r="AQ10" s="668">
        <f t="shared" si="11"/>
        <v>364258</v>
      </c>
      <c r="AR10" s="668">
        <f t="shared" si="12"/>
        <v>312090</v>
      </c>
      <c r="AS10" s="668">
        <f t="shared" si="13"/>
        <v>320118</v>
      </c>
      <c r="AT10" s="668">
        <f t="shared" si="14"/>
        <v>286135</v>
      </c>
      <c r="AU10" s="668">
        <f t="shared" si="15"/>
        <v>311739</v>
      </c>
      <c r="AV10" s="668">
        <f t="shared" si="16"/>
        <v>262741</v>
      </c>
      <c r="AW10" s="668">
        <f t="shared" si="17"/>
        <v>280088</v>
      </c>
      <c r="AX10" s="668">
        <f t="shared" si="18"/>
        <v>266208</v>
      </c>
      <c r="AY10" s="668">
        <f t="shared" si="19"/>
        <v>229985</v>
      </c>
      <c r="AZ10" s="977">
        <f t="shared" si="20"/>
        <v>215181</v>
      </c>
      <c r="BA10" s="964">
        <f>SUM(BD10-BE10)/BE10</f>
        <v>-0.23312603855793973</v>
      </c>
      <c r="BB10" s="37">
        <f>SUM(BD10-BC10)/BC10</f>
        <v>-0.1562885967594008</v>
      </c>
      <c r="BC10" s="38">
        <f t="shared" si="30"/>
        <v>163550</v>
      </c>
      <c r="BD10" s="1142">
        <v>137989</v>
      </c>
      <c r="BE10" s="38">
        <v>179937</v>
      </c>
      <c r="BF10" s="38">
        <v>176947</v>
      </c>
      <c r="BG10" s="38">
        <v>176865</v>
      </c>
      <c r="BH10" s="671">
        <v>165405</v>
      </c>
      <c r="BI10" s="123">
        <v>118596</v>
      </c>
      <c r="BJ10" s="123">
        <v>131800</v>
      </c>
      <c r="BK10" s="123">
        <v>92897</v>
      </c>
      <c r="BL10" s="123">
        <v>98240</v>
      </c>
      <c r="BM10" s="123">
        <v>85220</v>
      </c>
      <c r="BN10" s="123">
        <v>98626</v>
      </c>
      <c r="BO10" s="123">
        <v>48792</v>
      </c>
      <c r="BP10" s="123">
        <v>36962</v>
      </c>
      <c r="BQ10" s="669">
        <v>40852</v>
      </c>
      <c r="BR10" s="52">
        <f>SUM(BU10-BV10)/BV10</f>
        <v>-0.12931939922277072</v>
      </c>
      <c r="BS10" s="29">
        <f>SUM(BU10-BT10)/BT10</f>
        <v>0.019722489346968592</v>
      </c>
      <c r="BT10" s="30">
        <f>AVERAGE(BV10:BZ10)</f>
        <v>552800.4</v>
      </c>
      <c r="BU10" s="121">
        <f>+AM10+BD10</f>
        <v>563703</v>
      </c>
      <c r="BV10" s="121">
        <f t="shared" si="32"/>
        <v>647428</v>
      </c>
      <c r="BW10" s="121">
        <f t="shared" si="33"/>
        <v>582925</v>
      </c>
      <c r="BX10" s="121">
        <f t="shared" si="34"/>
        <v>573300</v>
      </c>
      <c r="BY10" s="121">
        <f t="shared" si="35"/>
        <v>529663</v>
      </c>
      <c r="BZ10" s="121">
        <f t="shared" si="36"/>
        <v>430686</v>
      </c>
      <c r="CA10" s="121">
        <f t="shared" si="37"/>
        <v>451918</v>
      </c>
      <c r="CB10" s="121">
        <f t="shared" si="38"/>
        <v>379032</v>
      </c>
      <c r="CC10" s="121">
        <f t="shared" si="39"/>
        <v>409979</v>
      </c>
      <c r="CD10" s="121">
        <f t="shared" si="40"/>
        <v>347961</v>
      </c>
      <c r="CE10" s="121">
        <f t="shared" si="41"/>
        <v>378714</v>
      </c>
      <c r="CF10" s="121">
        <f t="shared" si="26"/>
        <v>315000</v>
      </c>
      <c r="CG10" s="122">
        <f t="shared" si="27"/>
        <v>266947</v>
      </c>
      <c r="CH10" s="1139"/>
      <c r="CI10" s="1139"/>
      <c r="CJ10" s="1139"/>
      <c r="CK10" s="1139"/>
      <c r="CL10" s="1139"/>
      <c r="CM10" s="1139"/>
      <c r="CN10" s="1139"/>
      <c r="CO10" s="934"/>
      <c r="CP10" s="934"/>
      <c r="CQ10" s="934"/>
      <c r="CR10" s="934"/>
      <c r="CS10" s="934"/>
      <c r="CT10" s="934"/>
      <c r="CU10" s="934"/>
      <c r="CV10" s="934"/>
      <c r="CW10" s="934"/>
      <c r="CX10" s="934"/>
      <c r="CY10" s="934"/>
      <c r="CZ10" s="934"/>
      <c r="DA10" s="934"/>
      <c r="DB10" s="934"/>
      <c r="DC10" s="934"/>
      <c r="DD10" s="934"/>
      <c r="DE10" s="934"/>
    </row>
    <row r="11" spans="1:109" s="826" customFormat="1" ht="12.75">
      <c r="A11" s="1140" t="s">
        <v>20</v>
      </c>
      <c r="B11" s="52"/>
      <c r="C11" s="29"/>
      <c r="D11" s="30">
        <f t="shared" si="28"/>
        <v>292484.4</v>
      </c>
      <c r="E11" s="30"/>
      <c r="F11" s="30">
        <v>326646</v>
      </c>
      <c r="G11" s="30">
        <v>347829</v>
      </c>
      <c r="H11" s="30">
        <v>306124</v>
      </c>
      <c r="I11" s="670">
        <v>274914</v>
      </c>
      <c r="J11" s="121">
        <v>206909</v>
      </c>
      <c r="K11" s="121">
        <v>234592</v>
      </c>
      <c r="L11" s="121">
        <v>221492</v>
      </c>
      <c r="M11" s="121">
        <v>236969</v>
      </c>
      <c r="N11" s="121">
        <v>214709</v>
      </c>
      <c r="O11" s="121">
        <v>195413</v>
      </c>
      <c r="P11" s="121">
        <v>160215</v>
      </c>
      <c r="Q11" s="121">
        <v>139554</v>
      </c>
      <c r="R11" s="803">
        <v>127944</v>
      </c>
      <c r="S11" s="1128"/>
      <c r="T11" s="93"/>
      <c r="U11" s="94">
        <f t="shared" si="29"/>
        <v>102418.6</v>
      </c>
      <c r="V11" s="94"/>
      <c r="W11" s="94">
        <v>141410</v>
      </c>
      <c r="X11" s="94">
        <v>105256</v>
      </c>
      <c r="Y11" s="94">
        <v>110750</v>
      </c>
      <c r="Z11" s="666">
        <v>79339</v>
      </c>
      <c r="AA11" s="667">
        <v>75338</v>
      </c>
      <c r="AB11" s="94">
        <v>71086</v>
      </c>
      <c r="AC11" s="667">
        <v>83301</v>
      </c>
      <c r="AD11" s="667">
        <v>86012</v>
      </c>
      <c r="AE11" s="667">
        <v>80581</v>
      </c>
      <c r="AF11" s="667">
        <v>77416</v>
      </c>
      <c r="AG11" s="667">
        <v>87518</v>
      </c>
      <c r="AH11" s="667">
        <v>82965</v>
      </c>
      <c r="AI11" s="1129">
        <v>89354</v>
      </c>
      <c r="AJ11" s="714"/>
      <c r="AK11" s="390"/>
      <c r="AL11" s="76">
        <f aca="true" t="shared" si="42" ref="AL11:AL16">AVERAGE(AN11:AR11)</f>
        <v>394903</v>
      </c>
      <c r="AM11" s="76"/>
      <c r="AN11" s="668">
        <f t="shared" si="8"/>
        <v>468056</v>
      </c>
      <c r="AO11" s="668">
        <f t="shared" si="9"/>
        <v>453085</v>
      </c>
      <c r="AP11" s="668">
        <f t="shared" si="10"/>
        <v>416874</v>
      </c>
      <c r="AQ11" s="668">
        <f t="shared" si="11"/>
        <v>354253</v>
      </c>
      <c r="AR11" s="668">
        <f t="shared" si="12"/>
        <v>282247</v>
      </c>
      <c r="AS11" s="668">
        <f t="shared" si="13"/>
        <v>305678</v>
      </c>
      <c r="AT11" s="668">
        <f t="shared" si="14"/>
        <v>304793</v>
      </c>
      <c r="AU11" s="668">
        <f t="shared" si="15"/>
        <v>322981</v>
      </c>
      <c r="AV11" s="668">
        <f t="shared" si="16"/>
        <v>295290</v>
      </c>
      <c r="AW11" s="668">
        <f t="shared" si="17"/>
        <v>272829</v>
      </c>
      <c r="AX11" s="668">
        <f t="shared" si="18"/>
        <v>247733</v>
      </c>
      <c r="AY11" s="668">
        <f t="shared" si="19"/>
        <v>222519</v>
      </c>
      <c r="AZ11" s="977">
        <f t="shared" si="20"/>
        <v>217298</v>
      </c>
      <c r="BA11" s="964"/>
      <c r="BB11" s="37"/>
      <c r="BC11" s="38">
        <f t="shared" si="30"/>
        <v>177085.8</v>
      </c>
      <c r="BD11" s="38"/>
      <c r="BE11" s="123">
        <v>189848</v>
      </c>
      <c r="BF11" s="38">
        <v>221973</v>
      </c>
      <c r="BG11" s="38">
        <v>198487</v>
      </c>
      <c r="BH11" s="671">
        <v>166651</v>
      </c>
      <c r="BI11" s="123">
        <v>108470</v>
      </c>
      <c r="BJ11" s="123">
        <v>121558</v>
      </c>
      <c r="BK11" s="123">
        <v>101069</v>
      </c>
      <c r="BL11" s="123">
        <v>111760</v>
      </c>
      <c r="BM11" s="123">
        <v>104015</v>
      </c>
      <c r="BN11" s="123">
        <v>99786</v>
      </c>
      <c r="BO11" s="123">
        <v>49775</v>
      </c>
      <c r="BP11" s="123">
        <v>46353</v>
      </c>
      <c r="BQ11" s="669">
        <v>46836</v>
      </c>
      <c r="BR11" s="52"/>
      <c r="BS11" s="29"/>
      <c r="BT11" s="30">
        <f t="shared" si="31"/>
        <v>571988.8</v>
      </c>
      <c r="BU11" s="30"/>
      <c r="BV11" s="121">
        <f t="shared" si="32"/>
        <v>657904</v>
      </c>
      <c r="BW11" s="121">
        <f t="shared" si="33"/>
        <v>675058</v>
      </c>
      <c r="BX11" s="121">
        <f t="shared" si="34"/>
        <v>615361</v>
      </c>
      <c r="BY11" s="121">
        <f t="shared" si="35"/>
        <v>520904</v>
      </c>
      <c r="BZ11" s="121">
        <f t="shared" si="36"/>
        <v>390717</v>
      </c>
      <c r="CA11" s="121">
        <f t="shared" si="37"/>
        <v>427236</v>
      </c>
      <c r="CB11" s="121">
        <f t="shared" si="38"/>
        <v>405862</v>
      </c>
      <c r="CC11" s="121">
        <f t="shared" si="39"/>
        <v>434741</v>
      </c>
      <c r="CD11" s="121">
        <f t="shared" si="40"/>
        <v>399305</v>
      </c>
      <c r="CE11" s="121">
        <f t="shared" si="41"/>
        <v>372615</v>
      </c>
      <c r="CF11" s="121">
        <f t="shared" si="26"/>
        <v>297508</v>
      </c>
      <c r="CG11" s="122">
        <f t="shared" si="27"/>
        <v>268872</v>
      </c>
      <c r="CH11" s="1139"/>
      <c r="CI11" s="1139"/>
      <c r="CJ11" s="1139"/>
      <c r="CK11" s="1139"/>
      <c r="CL11" s="1139"/>
      <c r="CM11" s="1139"/>
      <c r="CN11" s="1139"/>
      <c r="CO11" s="934"/>
      <c r="CP11" s="934"/>
      <c r="CQ11" s="934"/>
      <c r="CR11" s="934"/>
      <c r="CS11" s="934"/>
      <c r="CT11" s="934"/>
      <c r="CU11" s="934"/>
      <c r="CV11" s="934"/>
      <c r="CW11" s="934"/>
      <c r="CX11" s="934"/>
      <c r="CY11" s="934"/>
      <c r="CZ11" s="934"/>
      <c r="DA11" s="934"/>
      <c r="DB11" s="934"/>
      <c r="DC11" s="934"/>
      <c r="DD11" s="934"/>
      <c r="DE11" s="934"/>
    </row>
    <row r="12" spans="1:109" s="826" customFormat="1" ht="12.75">
      <c r="A12" s="1140" t="s">
        <v>21</v>
      </c>
      <c r="B12" s="52"/>
      <c r="C12" s="29"/>
      <c r="D12" s="30">
        <f t="shared" si="28"/>
        <v>284907</v>
      </c>
      <c r="E12" s="30"/>
      <c r="F12" s="30">
        <v>331507</v>
      </c>
      <c r="G12" s="30">
        <v>317661</v>
      </c>
      <c r="H12" s="30">
        <v>313460</v>
      </c>
      <c r="I12" s="670">
        <v>255592</v>
      </c>
      <c r="J12" s="121">
        <v>206315</v>
      </c>
      <c r="K12" s="30">
        <v>188874</v>
      </c>
      <c r="L12" s="121">
        <v>220204</v>
      </c>
      <c r="M12" s="121">
        <v>208880</v>
      </c>
      <c r="N12" s="121">
        <v>219080</v>
      </c>
      <c r="O12" s="121">
        <v>198945</v>
      </c>
      <c r="P12" s="121">
        <v>183914</v>
      </c>
      <c r="Q12" s="121">
        <v>147405</v>
      </c>
      <c r="R12" s="803">
        <v>114541</v>
      </c>
      <c r="S12" s="1128"/>
      <c r="T12" s="93"/>
      <c r="U12" s="94">
        <f t="shared" si="29"/>
        <v>94525.4</v>
      </c>
      <c r="V12" s="94"/>
      <c r="W12" s="94">
        <v>134842</v>
      </c>
      <c r="X12" s="94">
        <v>98660</v>
      </c>
      <c r="Y12" s="94">
        <v>97009</v>
      </c>
      <c r="Z12" s="666">
        <v>76190</v>
      </c>
      <c r="AA12" s="667">
        <v>65926</v>
      </c>
      <c r="AB12" s="94">
        <v>53924</v>
      </c>
      <c r="AC12" s="667">
        <v>76724</v>
      </c>
      <c r="AD12" s="667">
        <v>80875</v>
      </c>
      <c r="AE12" s="667">
        <v>82308</v>
      </c>
      <c r="AF12" s="667">
        <v>73784</v>
      </c>
      <c r="AG12" s="667">
        <v>90761</v>
      </c>
      <c r="AH12" s="667">
        <v>82123</v>
      </c>
      <c r="AI12" s="1129">
        <v>81469</v>
      </c>
      <c r="AJ12" s="714"/>
      <c r="AK12" s="390"/>
      <c r="AL12" s="76">
        <f t="shared" si="42"/>
        <v>379432.4</v>
      </c>
      <c r="AM12" s="76"/>
      <c r="AN12" s="668">
        <f t="shared" si="8"/>
        <v>466349</v>
      </c>
      <c r="AO12" s="668">
        <f t="shared" si="9"/>
        <v>416321</v>
      </c>
      <c r="AP12" s="668">
        <f t="shared" si="10"/>
        <v>410469</v>
      </c>
      <c r="AQ12" s="668">
        <f t="shared" si="11"/>
        <v>331782</v>
      </c>
      <c r="AR12" s="668">
        <f t="shared" si="12"/>
        <v>272241</v>
      </c>
      <c r="AS12" s="668">
        <f t="shared" si="13"/>
        <v>242798</v>
      </c>
      <c r="AT12" s="668">
        <f t="shared" si="14"/>
        <v>296928</v>
      </c>
      <c r="AU12" s="668">
        <f t="shared" si="15"/>
        <v>289755</v>
      </c>
      <c r="AV12" s="668">
        <f t="shared" si="16"/>
        <v>301388</v>
      </c>
      <c r="AW12" s="668">
        <f t="shared" si="17"/>
        <v>272729</v>
      </c>
      <c r="AX12" s="668">
        <f t="shared" si="18"/>
        <v>274675</v>
      </c>
      <c r="AY12" s="668">
        <f t="shared" si="19"/>
        <v>229528</v>
      </c>
      <c r="AZ12" s="977">
        <f t="shared" si="20"/>
        <v>196010</v>
      </c>
      <c r="BA12" s="964"/>
      <c r="BB12" s="37"/>
      <c r="BC12" s="38">
        <f t="shared" si="30"/>
        <v>171228.4</v>
      </c>
      <c r="BD12" s="38"/>
      <c r="BE12" s="38">
        <v>187760</v>
      </c>
      <c r="BF12" s="38">
        <v>198418</v>
      </c>
      <c r="BG12" s="38">
        <v>199800</v>
      </c>
      <c r="BH12" s="671">
        <v>162594</v>
      </c>
      <c r="BI12" s="123">
        <v>107570</v>
      </c>
      <c r="BJ12" s="123">
        <v>97825</v>
      </c>
      <c r="BK12" s="123">
        <v>91451</v>
      </c>
      <c r="BL12" s="123">
        <v>97838</v>
      </c>
      <c r="BM12" s="123">
        <v>101322</v>
      </c>
      <c r="BN12" s="123">
        <v>100017</v>
      </c>
      <c r="BO12" s="123">
        <v>57795</v>
      </c>
      <c r="BP12" s="123">
        <v>48001</v>
      </c>
      <c r="BQ12" s="669">
        <v>46443</v>
      </c>
      <c r="BR12" s="52"/>
      <c r="BS12" s="29"/>
      <c r="BT12" s="30">
        <f t="shared" si="31"/>
        <v>550660.8</v>
      </c>
      <c r="BU12" s="30"/>
      <c r="BV12" s="121">
        <f t="shared" si="32"/>
        <v>654109</v>
      </c>
      <c r="BW12" s="121">
        <f t="shared" si="33"/>
        <v>614739</v>
      </c>
      <c r="BX12" s="121">
        <f t="shared" si="34"/>
        <v>610269</v>
      </c>
      <c r="BY12" s="121">
        <f t="shared" si="35"/>
        <v>494376</v>
      </c>
      <c r="BZ12" s="121">
        <f t="shared" si="36"/>
        <v>379811</v>
      </c>
      <c r="CA12" s="121">
        <f t="shared" si="37"/>
        <v>340623</v>
      </c>
      <c r="CB12" s="121">
        <f t="shared" si="38"/>
        <v>388379</v>
      </c>
      <c r="CC12" s="121">
        <f t="shared" si="39"/>
        <v>387593</v>
      </c>
      <c r="CD12" s="121">
        <f t="shared" si="40"/>
        <v>402710</v>
      </c>
      <c r="CE12" s="121">
        <f t="shared" si="41"/>
        <v>372746</v>
      </c>
      <c r="CF12" s="121">
        <f t="shared" si="26"/>
        <v>332470</v>
      </c>
      <c r="CG12" s="122">
        <f t="shared" si="27"/>
        <v>277529</v>
      </c>
      <c r="CH12" s="1139"/>
      <c r="CI12" s="1139"/>
      <c r="CJ12" s="1139"/>
      <c r="CK12" s="1139"/>
      <c r="CL12" s="1139"/>
      <c r="CM12" s="1139"/>
      <c r="CN12" s="1139"/>
      <c r="CO12" s="934"/>
      <c r="CP12" s="934"/>
      <c r="CQ12" s="934"/>
      <c r="CR12" s="934"/>
      <c r="CS12" s="934"/>
      <c r="CT12" s="934"/>
      <c r="CU12" s="934"/>
      <c r="CV12" s="934"/>
      <c r="CW12" s="934"/>
      <c r="CX12" s="934"/>
      <c r="CY12" s="934"/>
      <c r="CZ12" s="934"/>
      <c r="DA12" s="934"/>
      <c r="DB12" s="934"/>
      <c r="DC12" s="934"/>
      <c r="DD12" s="934"/>
      <c r="DE12" s="934"/>
    </row>
    <row r="13" spans="1:109" s="826" customFormat="1" ht="12.75">
      <c r="A13" s="1140" t="s">
        <v>22</v>
      </c>
      <c r="B13" s="52"/>
      <c r="C13" s="29"/>
      <c r="D13" s="30">
        <f t="shared" si="28"/>
        <v>295427.8</v>
      </c>
      <c r="E13" s="30"/>
      <c r="F13" s="30">
        <v>323131</v>
      </c>
      <c r="G13" s="30">
        <v>335688</v>
      </c>
      <c r="H13" s="30">
        <v>299203</v>
      </c>
      <c r="I13" s="670">
        <v>288590</v>
      </c>
      <c r="J13" s="672">
        <v>230527</v>
      </c>
      <c r="K13" s="121">
        <v>163776</v>
      </c>
      <c r="L13" s="121">
        <v>238185</v>
      </c>
      <c r="M13" s="121">
        <v>235511</v>
      </c>
      <c r="N13" s="121">
        <v>204242</v>
      </c>
      <c r="O13" s="121">
        <v>180719</v>
      </c>
      <c r="P13" s="121">
        <v>169995</v>
      </c>
      <c r="Q13" s="121">
        <v>150796</v>
      </c>
      <c r="R13" s="803">
        <v>134836</v>
      </c>
      <c r="S13" s="1128"/>
      <c r="T13" s="93"/>
      <c r="U13" s="94">
        <f t="shared" si="29"/>
        <v>105671</v>
      </c>
      <c r="V13" s="94"/>
      <c r="W13" s="94">
        <v>144839</v>
      </c>
      <c r="X13" s="94">
        <v>109318</v>
      </c>
      <c r="Y13" s="94">
        <v>103422</v>
      </c>
      <c r="Z13" s="666">
        <v>85824</v>
      </c>
      <c r="AA13" s="673">
        <v>84952</v>
      </c>
      <c r="AB13" s="667">
        <v>40608</v>
      </c>
      <c r="AC13" s="667">
        <v>82255</v>
      </c>
      <c r="AD13" s="667">
        <v>88541</v>
      </c>
      <c r="AE13" s="667">
        <v>84349</v>
      </c>
      <c r="AF13" s="667">
        <v>77171</v>
      </c>
      <c r="AG13" s="667">
        <v>87101</v>
      </c>
      <c r="AH13" s="667">
        <v>89676</v>
      </c>
      <c r="AI13" s="1129">
        <v>92769</v>
      </c>
      <c r="AJ13" s="714"/>
      <c r="AK13" s="390"/>
      <c r="AL13" s="76">
        <f t="shared" si="42"/>
        <v>401098.8</v>
      </c>
      <c r="AM13" s="76"/>
      <c r="AN13" s="668">
        <f t="shared" si="8"/>
        <v>467970</v>
      </c>
      <c r="AO13" s="668">
        <f t="shared" si="9"/>
        <v>445006</v>
      </c>
      <c r="AP13" s="668">
        <f t="shared" si="10"/>
        <v>402625</v>
      </c>
      <c r="AQ13" s="668">
        <f t="shared" si="11"/>
        <v>374414</v>
      </c>
      <c r="AR13" s="668">
        <f t="shared" si="12"/>
        <v>315479</v>
      </c>
      <c r="AS13" s="668">
        <f t="shared" si="13"/>
        <v>204384</v>
      </c>
      <c r="AT13" s="668">
        <f t="shared" si="14"/>
        <v>320440</v>
      </c>
      <c r="AU13" s="668">
        <f t="shared" si="15"/>
        <v>324052</v>
      </c>
      <c r="AV13" s="668">
        <f t="shared" si="16"/>
        <v>288591</v>
      </c>
      <c r="AW13" s="668">
        <f t="shared" si="17"/>
        <v>257890</v>
      </c>
      <c r="AX13" s="668">
        <f t="shared" si="18"/>
        <v>257096</v>
      </c>
      <c r="AY13" s="668">
        <f t="shared" si="19"/>
        <v>240472</v>
      </c>
      <c r="AZ13" s="977">
        <f t="shared" si="20"/>
        <v>227605</v>
      </c>
      <c r="BA13" s="964"/>
      <c r="BB13" s="37"/>
      <c r="BC13" s="38">
        <f t="shared" si="30"/>
        <v>177046.8</v>
      </c>
      <c r="BD13" s="123"/>
      <c r="BE13" s="671">
        <v>176603</v>
      </c>
      <c r="BF13" s="38">
        <v>205720</v>
      </c>
      <c r="BG13" s="38">
        <v>198315</v>
      </c>
      <c r="BH13" s="671">
        <v>183251</v>
      </c>
      <c r="BI13" s="674">
        <v>121345</v>
      </c>
      <c r="BJ13" s="123">
        <v>96934</v>
      </c>
      <c r="BK13" s="123">
        <v>114428</v>
      </c>
      <c r="BL13" s="123">
        <v>108880</v>
      </c>
      <c r="BM13" s="123">
        <v>107829</v>
      </c>
      <c r="BN13" s="123">
        <v>89572</v>
      </c>
      <c r="BO13" s="123">
        <v>57860</v>
      </c>
      <c r="BP13" s="123">
        <v>44390</v>
      </c>
      <c r="BQ13" s="669">
        <v>43982</v>
      </c>
      <c r="BR13" s="52"/>
      <c r="BS13" s="29"/>
      <c r="BT13" s="30">
        <f t="shared" si="31"/>
        <v>578145.6</v>
      </c>
      <c r="BU13" s="30"/>
      <c r="BV13" s="121">
        <f t="shared" si="32"/>
        <v>644573</v>
      </c>
      <c r="BW13" s="121">
        <f t="shared" si="33"/>
        <v>650726</v>
      </c>
      <c r="BX13" s="121">
        <f t="shared" si="34"/>
        <v>600940</v>
      </c>
      <c r="BY13" s="121">
        <f t="shared" si="35"/>
        <v>557665</v>
      </c>
      <c r="BZ13" s="121">
        <f t="shared" si="36"/>
        <v>436824</v>
      </c>
      <c r="CA13" s="121">
        <f t="shared" si="37"/>
        <v>301318</v>
      </c>
      <c r="CB13" s="121">
        <f t="shared" si="38"/>
        <v>434868</v>
      </c>
      <c r="CC13" s="121">
        <f t="shared" si="39"/>
        <v>432932</v>
      </c>
      <c r="CD13" s="121">
        <f t="shared" si="40"/>
        <v>396420</v>
      </c>
      <c r="CE13" s="121">
        <f t="shared" si="41"/>
        <v>347462</v>
      </c>
      <c r="CF13" s="121">
        <f t="shared" si="26"/>
        <v>314956</v>
      </c>
      <c r="CG13" s="122">
        <f t="shared" si="27"/>
        <v>284862</v>
      </c>
      <c r="CH13" s="1139"/>
      <c r="CI13" s="1139"/>
      <c r="CJ13" s="1139"/>
      <c r="CK13" s="1139"/>
      <c r="CL13" s="1139"/>
      <c r="CM13" s="1139"/>
      <c r="CN13" s="1139"/>
      <c r="CO13" s="934"/>
      <c r="CP13" s="934"/>
      <c r="CQ13" s="934"/>
      <c r="CR13" s="934"/>
      <c r="CS13" s="934"/>
      <c r="CT13" s="934"/>
      <c r="CU13" s="934"/>
      <c r="CV13" s="934"/>
      <c r="CW13" s="934"/>
      <c r="CX13" s="934"/>
      <c r="CY13" s="934"/>
      <c r="CZ13" s="934"/>
      <c r="DA13" s="934"/>
      <c r="DB13" s="934"/>
      <c r="DC13" s="934"/>
      <c r="DD13" s="934"/>
      <c r="DE13" s="934"/>
    </row>
    <row r="14" spans="1:109" s="826" customFormat="1" ht="12.75">
      <c r="A14" s="1140" t="s">
        <v>23</v>
      </c>
      <c r="B14" s="52"/>
      <c r="C14" s="29"/>
      <c r="D14" s="30">
        <f t="shared" si="28"/>
        <v>292007</v>
      </c>
      <c r="E14" s="30"/>
      <c r="F14" s="30">
        <v>310068</v>
      </c>
      <c r="G14" s="30">
        <v>332806</v>
      </c>
      <c r="H14" s="670">
        <v>305065</v>
      </c>
      <c r="I14" s="670">
        <v>295717</v>
      </c>
      <c r="J14" s="670">
        <v>216379</v>
      </c>
      <c r="K14" s="121">
        <v>179463</v>
      </c>
      <c r="L14" s="121">
        <v>193861</v>
      </c>
      <c r="M14" s="121">
        <v>213065</v>
      </c>
      <c r="N14" s="121">
        <v>209444</v>
      </c>
      <c r="O14" s="121">
        <v>192661</v>
      </c>
      <c r="P14" s="121">
        <v>146354</v>
      </c>
      <c r="Q14" s="121">
        <v>125971</v>
      </c>
      <c r="R14" s="803">
        <v>109200</v>
      </c>
      <c r="S14" s="1128"/>
      <c r="T14" s="93"/>
      <c r="U14" s="94">
        <f t="shared" si="29"/>
        <v>108123.6</v>
      </c>
      <c r="V14" s="94"/>
      <c r="W14" s="94">
        <v>143848</v>
      </c>
      <c r="X14" s="94">
        <v>107738</v>
      </c>
      <c r="Y14" s="666">
        <v>107147</v>
      </c>
      <c r="Z14" s="666">
        <v>99436</v>
      </c>
      <c r="AA14" s="666">
        <v>82449</v>
      </c>
      <c r="AB14" s="667">
        <v>64946</v>
      </c>
      <c r="AC14" s="667">
        <v>75879</v>
      </c>
      <c r="AD14" s="667">
        <v>90756</v>
      </c>
      <c r="AE14" s="667">
        <v>91201</v>
      </c>
      <c r="AF14" s="667">
        <v>84291</v>
      </c>
      <c r="AG14" s="667">
        <v>96568</v>
      </c>
      <c r="AH14" s="667">
        <v>86338</v>
      </c>
      <c r="AI14" s="1129">
        <v>89899</v>
      </c>
      <c r="AJ14" s="714"/>
      <c r="AK14" s="390"/>
      <c r="AL14" s="76">
        <f t="shared" si="42"/>
        <v>400130.6</v>
      </c>
      <c r="AM14" s="76"/>
      <c r="AN14" s="668">
        <f t="shared" si="8"/>
        <v>453916</v>
      </c>
      <c r="AO14" s="668">
        <f t="shared" si="9"/>
        <v>440544</v>
      </c>
      <c r="AP14" s="668">
        <f t="shared" si="10"/>
        <v>412212</v>
      </c>
      <c r="AQ14" s="668">
        <f t="shared" si="11"/>
        <v>395153</v>
      </c>
      <c r="AR14" s="668">
        <f t="shared" si="12"/>
        <v>298828</v>
      </c>
      <c r="AS14" s="668">
        <f t="shared" si="13"/>
        <v>244409</v>
      </c>
      <c r="AT14" s="668">
        <f t="shared" si="14"/>
        <v>269740</v>
      </c>
      <c r="AU14" s="668">
        <f t="shared" si="15"/>
        <v>303821</v>
      </c>
      <c r="AV14" s="668">
        <f t="shared" si="16"/>
        <v>300645</v>
      </c>
      <c r="AW14" s="668">
        <f t="shared" si="17"/>
        <v>276952</v>
      </c>
      <c r="AX14" s="668">
        <f t="shared" si="18"/>
        <v>242922</v>
      </c>
      <c r="AY14" s="668">
        <f t="shared" si="19"/>
        <v>212309</v>
      </c>
      <c r="AZ14" s="977">
        <f t="shared" si="20"/>
        <v>199099</v>
      </c>
      <c r="BA14" s="964"/>
      <c r="BB14" s="37"/>
      <c r="BC14" s="38">
        <f t="shared" si="30"/>
        <v>176820.2</v>
      </c>
      <c r="BD14" s="38"/>
      <c r="BE14" s="671">
        <v>157690</v>
      </c>
      <c r="BF14" s="38">
        <v>214453</v>
      </c>
      <c r="BG14" s="671">
        <v>198432</v>
      </c>
      <c r="BH14" s="671">
        <v>187461</v>
      </c>
      <c r="BI14" s="671">
        <v>126065</v>
      </c>
      <c r="BJ14" s="123">
        <v>90740</v>
      </c>
      <c r="BK14" s="123">
        <v>102345</v>
      </c>
      <c r="BL14" s="123">
        <v>107076</v>
      </c>
      <c r="BM14" s="123">
        <v>96656</v>
      </c>
      <c r="BN14" s="123">
        <v>91189</v>
      </c>
      <c r="BO14" s="123">
        <v>68070</v>
      </c>
      <c r="BP14" s="123">
        <v>39910</v>
      </c>
      <c r="BQ14" s="669">
        <v>44000</v>
      </c>
      <c r="BR14" s="52"/>
      <c r="BS14" s="29"/>
      <c r="BT14" s="30">
        <f t="shared" si="31"/>
        <v>576950.8</v>
      </c>
      <c r="BU14" s="30"/>
      <c r="BV14" s="121">
        <f t="shared" si="32"/>
        <v>611606</v>
      </c>
      <c r="BW14" s="121">
        <f t="shared" si="33"/>
        <v>654997</v>
      </c>
      <c r="BX14" s="121">
        <f t="shared" si="34"/>
        <v>610644</v>
      </c>
      <c r="BY14" s="121">
        <f t="shared" si="35"/>
        <v>582614</v>
      </c>
      <c r="BZ14" s="121">
        <f t="shared" si="36"/>
        <v>424893</v>
      </c>
      <c r="CA14" s="121">
        <f t="shared" si="37"/>
        <v>335149</v>
      </c>
      <c r="CB14" s="121">
        <f t="shared" si="38"/>
        <v>372085</v>
      </c>
      <c r="CC14" s="121">
        <f t="shared" si="39"/>
        <v>410897</v>
      </c>
      <c r="CD14" s="121">
        <f t="shared" si="40"/>
        <v>397301</v>
      </c>
      <c r="CE14" s="121">
        <f t="shared" si="41"/>
        <v>368141</v>
      </c>
      <c r="CF14" s="121">
        <f t="shared" si="26"/>
        <v>310992</v>
      </c>
      <c r="CG14" s="122">
        <f t="shared" si="27"/>
        <v>252219</v>
      </c>
      <c r="CH14" s="1139"/>
      <c r="CI14" s="1139"/>
      <c r="CJ14" s="1139"/>
      <c r="CK14" s="1139"/>
      <c r="CL14" s="1139"/>
      <c r="CM14" s="1139"/>
      <c r="CN14" s="1139"/>
      <c r="CO14" s="934"/>
      <c r="CP14" s="934"/>
      <c r="CQ14" s="934"/>
      <c r="CR14" s="934"/>
      <c r="CS14" s="934"/>
      <c r="CT14" s="934"/>
      <c r="CU14" s="934"/>
      <c r="CV14" s="934"/>
      <c r="CW14" s="934"/>
      <c r="CX14" s="934"/>
      <c r="CY14" s="934"/>
      <c r="CZ14" s="934"/>
      <c r="DA14" s="934"/>
      <c r="DB14" s="934"/>
      <c r="DC14" s="934"/>
      <c r="DD14" s="934"/>
      <c r="DE14" s="934"/>
    </row>
    <row r="15" spans="1:109" s="826" customFormat="1" ht="13.5" thickBot="1">
      <c r="A15" s="1143" t="s">
        <v>24</v>
      </c>
      <c r="B15" s="960"/>
      <c r="C15" s="961"/>
      <c r="D15" s="940">
        <f t="shared" si="28"/>
        <v>261831</v>
      </c>
      <c r="E15" s="940"/>
      <c r="F15" s="940">
        <v>280482</v>
      </c>
      <c r="G15" s="940">
        <v>282726</v>
      </c>
      <c r="H15" s="1115">
        <v>266358</v>
      </c>
      <c r="I15" s="1115">
        <v>269495</v>
      </c>
      <c r="J15" s="124">
        <v>210094</v>
      </c>
      <c r="K15" s="124">
        <v>186243</v>
      </c>
      <c r="L15" s="124">
        <v>191584</v>
      </c>
      <c r="M15" s="124">
        <v>180631</v>
      </c>
      <c r="N15" s="124">
        <v>185572</v>
      </c>
      <c r="O15" s="124">
        <v>166532</v>
      </c>
      <c r="P15" s="124">
        <v>145840</v>
      </c>
      <c r="Q15" s="124">
        <v>133087</v>
      </c>
      <c r="R15" s="676">
        <v>104146</v>
      </c>
      <c r="S15" s="1130"/>
      <c r="T15" s="973"/>
      <c r="U15" s="974">
        <f t="shared" si="29"/>
        <v>107256</v>
      </c>
      <c r="V15" s="1132"/>
      <c r="W15" s="974">
        <v>142940</v>
      </c>
      <c r="X15" s="1144">
        <v>111838</v>
      </c>
      <c r="Y15" s="974">
        <v>104184</v>
      </c>
      <c r="Z15" s="1131">
        <v>93377</v>
      </c>
      <c r="AA15" s="1132">
        <v>83941</v>
      </c>
      <c r="AB15" s="1132">
        <v>64262</v>
      </c>
      <c r="AC15" s="1132">
        <v>83660</v>
      </c>
      <c r="AD15" s="1132">
        <v>79351</v>
      </c>
      <c r="AE15" s="1132">
        <v>86697</v>
      </c>
      <c r="AF15" s="1132">
        <v>87527</v>
      </c>
      <c r="AG15" s="1132">
        <v>91138</v>
      </c>
      <c r="AH15" s="1132">
        <v>100557</v>
      </c>
      <c r="AI15" s="1133">
        <v>92793</v>
      </c>
      <c r="AJ15" s="972"/>
      <c r="AK15" s="967"/>
      <c r="AL15" s="968">
        <f t="shared" si="42"/>
        <v>369087</v>
      </c>
      <c r="AM15" s="968"/>
      <c r="AN15" s="978">
        <f t="shared" si="8"/>
        <v>423422</v>
      </c>
      <c r="AO15" s="978">
        <f t="shared" si="9"/>
        <v>394564</v>
      </c>
      <c r="AP15" s="978">
        <f t="shared" si="10"/>
        <v>370542</v>
      </c>
      <c r="AQ15" s="978">
        <f t="shared" si="11"/>
        <v>362872</v>
      </c>
      <c r="AR15" s="978">
        <f t="shared" si="12"/>
        <v>294035</v>
      </c>
      <c r="AS15" s="978">
        <f t="shared" si="13"/>
        <v>250505</v>
      </c>
      <c r="AT15" s="978">
        <f t="shared" si="14"/>
        <v>275244</v>
      </c>
      <c r="AU15" s="978">
        <f t="shared" si="15"/>
        <v>259982</v>
      </c>
      <c r="AV15" s="978">
        <f t="shared" si="16"/>
        <v>272269</v>
      </c>
      <c r="AW15" s="978">
        <f t="shared" si="17"/>
        <v>254059</v>
      </c>
      <c r="AX15" s="978">
        <f t="shared" si="18"/>
        <v>236978</v>
      </c>
      <c r="AY15" s="978">
        <f t="shared" si="19"/>
        <v>233644</v>
      </c>
      <c r="AZ15" s="979">
        <f t="shared" si="20"/>
        <v>196939</v>
      </c>
      <c r="BA15" s="1119"/>
      <c r="BB15" s="959"/>
      <c r="BC15" s="561">
        <f t="shared" si="30"/>
        <v>161655.8</v>
      </c>
      <c r="BD15" s="796"/>
      <c r="BE15" s="1117">
        <v>151933</v>
      </c>
      <c r="BF15" s="561">
        <v>180663</v>
      </c>
      <c r="BG15" s="561">
        <v>175230</v>
      </c>
      <c r="BH15" s="1117">
        <v>188467</v>
      </c>
      <c r="BI15" s="1117">
        <v>111986</v>
      </c>
      <c r="BJ15" s="796">
        <v>111457</v>
      </c>
      <c r="BK15" s="796">
        <v>84299</v>
      </c>
      <c r="BL15" s="796">
        <v>91408</v>
      </c>
      <c r="BM15" s="796">
        <v>92971</v>
      </c>
      <c r="BN15" s="796">
        <v>82589</v>
      </c>
      <c r="BO15" s="796">
        <v>64014</v>
      </c>
      <c r="BP15" s="796">
        <v>37737</v>
      </c>
      <c r="BQ15" s="950">
        <v>36927</v>
      </c>
      <c r="BR15" s="960"/>
      <c r="BS15" s="961"/>
      <c r="BT15" s="940">
        <f t="shared" si="31"/>
        <v>530742.8</v>
      </c>
      <c r="BU15" s="940"/>
      <c r="BV15" s="124">
        <f t="shared" si="32"/>
        <v>575355</v>
      </c>
      <c r="BW15" s="124">
        <f t="shared" si="33"/>
        <v>575227</v>
      </c>
      <c r="BX15" s="124">
        <f t="shared" si="34"/>
        <v>545772</v>
      </c>
      <c r="BY15" s="124">
        <f t="shared" si="35"/>
        <v>551339</v>
      </c>
      <c r="BZ15" s="124">
        <f t="shared" si="36"/>
        <v>406021</v>
      </c>
      <c r="CA15" s="124">
        <f t="shared" si="37"/>
        <v>361962</v>
      </c>
      <c r="CB15" s="124">
        <f t="shared" si="38"/>
        <v>359543</v>
      </c>
      <c r="CC15" s="124">
        <f t="shared" si="39"/>
        <v>351390</v>
      </c>
      <c r="CD15" s="124">
        <f t="shared" si="40"/>
        <v>365240</v>
      </c>
      <c r="CE15" s="124">
        <f t="shared" si="41"/>
        <v>336648</v>
      </c>
      <c r="CF15" s="124">
        <f t="shared" si="26"/>
        <v>300992</v>
      </c>
      <c r="CG15" s="125">
        <f t="shared" si="27"/>
        <v>271381</v>
      </c>
      <c r="CH15" s="1139"/>
      <c r="CI15" s="1139"/>
      <c r="CJ15" s="1139"/>
      <c r="CK15" s="1139"/>
      <c r="CL15" s="1139"/>
      <c r="CM15" s="1139"/>
      <c r="CN15" s="1139"/>
      <c r="CO15" s="934"/>
      <c r="CP15" s="934"/>
      <c r="CQ15" s="934"/>
      <c r="CR15" s="934"/>
      <c r="CS15" s="934"/>
      <c r="CT15" s="934"/>
      <c r="CU15" s="934"/>
      <c r="CV15" s="934"/>
      <c r="CW15" s="934"/>
      <c r="CX15" s="934"/>
      <c r="CY15" s="934"/>
      <c r="CZ15" s="934"/>
      <c r="DA15" s="934"/>
      <c r="DB15" s="934"/>
      <c r="DC15" s="934"/>
      <c r="DD15" s="934"/>
      <c r="DE15" s="934"/>
    </row>
    <row r="16" spans="1:97" s="908" customFormat="1" ht="12.75">
      <c r="A16" s="655" t="s">
        <v>25</v>
      </c>
      <c r="B16" s="467">
        <f>SUM(E16-F16)/F16</f>
        <v>-0.12708140019570893</v>
      </c>
      <c r="C16" s="468">
        <f>SUM(E16-D16)/D16</f>
        <v>0.030330959975303877</v>
      </c>
      <c r="D16" s="469">
        <f t="shared" si="28"/>
        <v>1806919.4</v>
      </c>
      <c r="E16" s="469">
        <f>SUM(E4:E10)</f>
        <v>1861725</v>
      </c>
      <c r="F16" s="469">
        <f aca="true" t="shared" si="43" ref="F16:R16">SUM(F4:F10)</f>
        <v>2132759</v>
      </c>
      <c r="G16" s="469">
        <f t="shared" si="43"/>
        <v>2102970</v>
      </c>
      <c r="H16" s="469">
        <f t="shared" si="43"/>
        <v>1855844</v>
      </c>
      <c r="I16" s="469">
        <f t="shared" si="43"/>
        <v>1603672</v>
      </c>
      <c r="J16" s="469">
        <f t="shared" si="43"/>
        <v>1339352</v>
      </c>
      <c r="K16" s="469">
        <f t="shared" si="43"/>
        <v>1499743</v>
      </c>
      <c r="L16" s="469">
        <f t="shared" si="43"/>
        <v>1355353</v>
      </c>
      <c r="M16" s="469">
        <f t="shared" si="43"/>
        <v>1381132</v>
      </c>
      <c r="N16" s="469">
        <f t="shared" si="43"/>
        <v>1284003</v>
      </c>
      <c r="O16" s="469">
        <f t="shared" si="43"/>
        <v>1162631</v>
      </c>
      <c r="P16" s="469">
        <f t="shared" si="43"/>
        <v>1000467</v>
      </c>
      <c r="Q16" s="469">
        <f t="shared" si="43"/>
        <v>850765</v>
      </c>
      <c r="R16" s="469">
        <f t="shared" si="43"/>
        <v>762653</v>
      </c>
      <c r="S16" s="467">
        <f>SUM(V16-W16)/W16</f>
        <v>0.23224933688227323</v>
      </c>
      <c r="T16" s="468">
        <f>SUM(V16-U16)/U16</f>
        <v>0.5658252228964541</v>
      </c>
      <c r="U16" s="469">
        <f t="shared" si="29"/>
        <v>681796.4</v>
      </c>
      <c r="V16" s="469">
        <f>SUM(V4:V10)</f>
        <v>1067574</v>
      </c>
      <c r="W16" s="469">
        <f aca="true" t="shared" si="44" ref="W16:AI16">SUM(W4:W10)</f>
        <v>866362</v>
      </c>
      <c r="X16" s="469">
        <f t="shared" si="44"/>
        <v>758033</v>
      </c>
      <c r="Y16" s="469">
        <f t="shared" si="44"/>
        <v>698907</v>
      </c>
      <c r="Z16" s="469">
        <f t="shared" si="44"/>
        <v>573747</v>
      </c>
      <c r="AA16" s="469">
        <f t="shared" si="44"/>
        <v>511933</v>
      </c>
      <c r="AB16" s="469">
        <f t="shared" si="44"/>
        <v>560459</v>
      </c>
      <c r="AC16" s="469">
        <f t="shared" si="44"/>
        <v>551025</v>
      </c>
      <c r="AD16" s="469">
        <f t="shared" si="44"/>
        <v>618818</v>
      </c>
      <c r="AE16" s="469">
        <f t="shared" si="44"/>
        <v>564085</v>
      </c>
      <c r="AF16" s="469">
        <f t="shared" si="44"/>
        <v>573458</v>
      </c>
      <c r="AG16" s="469">
        <f t="shared" si="44"/>
        <v>654240</v>
      </c>
      <c r="AH16" s="469">
        <f t="shared" si="44"/>
        <v>640228</v>
      </c>
      <c r="AI16" s="469">
        <f t="shared" si="44"/>
        <v>590029</v>
      </c>
      <c r="AJ16" s="467">
        <f>SUM(AM16-AN16)/AN16</f>
        <v>-0.023280821280635227</v>
      </c>
      <c r="AK16" s="468">
        <f>SUM(AM16-AL16)/AL16</f>
        <v>0.1770323473656575</v>
      </c>
      <c r="AL16" s="469">
        <f t="shared" si="42"/>
        <v>2488715.8</v>
      </c>
      <c r="AM16" s="1120">
        <f aca="true" t="shared" si="45" ref="AM16:AZ16">+E16+V16</f>
        <v>2929299</v>
      </c>
      <c r="AN16" s="1120">
        <f t="shared" si="45"/>
        <v>2999121</v>
      </c>
      <c r="AO16" s="1120">
        <f t="shared" si="45"/>
        <v>2861003</v>
      </c>
      <c r="AP16" s="1120">
        <f t="shared" si="45"/>
        <v>2554751</v>
      </c>
      <c r="AQ16" s="1120">
        <f t="shared" si="45"/>
        <v>2177419</v>
      </c>
      <c r="AR16" s="1120">
        <f t="shared" si="45"/>
        <v>1851285</v>
      </c>
      <c r="AS16" s="1120">
        <f t="shared" si="45"/>
        <v>2060202</v>
      </c>
      <c r="AT16" s="1120">
        <f t="shared" si="45"/>
        <v>1906378</v>
      </c>
      <c r="AU16" s="1120">
        <f t="shared" si="45"/>
        <v>1999950</v>
      </c>
      <c r="AV16" s="1120">
        <f t="shared" si="45"/>
        <v>1848088</v>
      </c>
      <c r="AW16" s="1120">
        <f t="shared" si="45"/>
        <v>1736089</v>
      </c>
      <c r="AX16" s="1120">
        <f t="shared" si="45"/>
        <v>1654707</v>
      </c>
      <c r="AY16" s="1120">
        <f t="shared" si="45"/>
        <v>1490993</v>
      </c>
      <c r="AZ16" s="1121">
        <f t="shared" si="45"/>
        <v>1352682</v>
      </c>
      <c r="BA16" s="467">
        <f>SUM(BD16-BE16)/BE16</f>
        <v>-0.2743783750513978</v>
      </c>
      <c r="BB16" s="468">
        <f>SUM(BD16-BC16)/BC16</f>
        <v>-0.1938325430550197</v>
      </c>
      <c r="BC16" s="469">
        <f t="shared" si="30"/>
        <v>1052920.2</v>
      </c>
      <c r="BD16" s="469">
        <f>SUM(BD4:BD10)</f>
        <v>848830</v>
      </c>
      <c r="BE16" s="469">
        <f aca="true" t="shared" si="46" ref="BE16:BQ16">SUM(BE4:BE10)</f>
        <v>1169797</v>
      </c>
      <c r="BF16" s="469">
        <f t="shared" si="46"/>
        <v>1258615</v>
      </c>
      <c r="BG16" s="469">
        <f t="shared" si="46"/>
        <v>1172081</v>
      </c>
      <c r="BH16" s="469">
        <f t="shared" si="46"/>
        <v>895535</v>
      </c>
      <c r="BI16" s="469">
        <f t="shared" si="46"/>
        <v>768573</v>
      </c>
      <c r="BJ16" s="469">
        <f t="shared" si="46"/>
        <v>700160</v>
      </c>
      <c r="BK16" s="469">
        <f t="shared" si="46"/>
        <v>595836</v>
      </c>
      <c r="BL16" s="469">
        <f t="shared" si="46"/>
        <v>583284</v>
      </c>
      <c r="BM16" s="469">
        <f t="shared" si="46"/>
        <v>599416</v>
      </c>
      <c r="BN16" s="469">
        <f t="shared" si="46"/>
        <v>563988</v>
      </c>
      <c r="BO16" s="469">
        <f t="shared" si="46"/>
        <v>292974</v>
      </c>
      <c r="BP16" s="469">
        <f t="shared" si="46"/>
        <v>221479</v>
      </c>
      <c r="BQ16" s="469">
        <f t="shared" si="46"/>
        <v>235791</v>
      </c>
      <c r="BR16" s="467">
        <f>SUM(BU16-BV16)/BV16</f>
        <v>-0.09373871109961865</v>
      </c>
      <c r="BS16" s="468">
        <f>SUM(BU16-BT16)/BT16</f>
        <v>0.06677507231121436</v>
      </c>
      <c r="BT16" s="469">
        <f t="shared" si="31"/>
        <v>3541636</v>
      </c>
      <c r="BU16" s="332">
        <f>+AM16+BD16</f>
        <v>3778129</v>
      </c>
      <c r="BV16" s="332">
        <f t="shared" si="32"/>
        <v>4168918</v>
      </c>
      <c r="BW16" s="332">
        <f t="shared" si="33"/>
        <v>4119618</v>
      </c>
      <c r="BX16" s="332">
        <f t="shared" si="34"/>
        <v>3726832</v>
      </c>
      <c r="BY16" s="332">
        <f t="shared" si="35"/>
        <v>3072954</v>
      </c>
      <c r="BZ16" s="332">
        <f t="shared" si="36"/>
        <v>2619858</v>
      </c>
      <c r="CA16" s="332">
        <f t="shared" si="37"/>
        <v>2760362</v>
      </c>
      <c r="CB16" s="332">
        <f t="shared" si="38"/>
        <v>2502214</v>
      </c>
      <c r="CC16" s="332">
        <f t="shared" si="39"/>
        <v>2583234</v>
      </c>
      <c r="CD16" s="332">
        <f t="shared" si="40"/>
        <v>2447504</v>
      </c>
      <c r="CE16" s="332">
        <f t="shared" si="41"/>
        <v>2300077</v>
      </c>
      <c r="CF16" s="332">
        <f>+AX16+BO16</f>
        <v>1947681</v>
      </c>
      <c r="CG16" s="589">
        <f>+AY16+BP16</f>
        <v>1712472</v>
      </c>
      <c r="CH16" s="168">
        <f>SUM(CH4:CH12)</f>
        <v>0</v>
      </c>
      <c r="CI16" s="1145"/>
      <c r="CJ16" s="1145"/>
      <c r="CK16" s="1145"/>
      <c r="CL16" s="1145"/>
      <c r="CM16" s="1145"/>
      <c r="CN16" s="1145"/>
      <c r="CO16" s="935"/>
      <c r="CP16" s="935"/>
      <c r="CQ16" s="935"/>
      <c r="CR16" s="935"/>
      <c r="CS16" s="935"/>
    </row>
    <row r="17" spans="1:97" s="909" customFormat="1" ht="12.75" customHeight="1" thickBot="1">
      <c r="A17" s="548" t="s">
        <v>26</v>
      </c>
      <c r="B17" s="294">
        <f>SUM(E17-F17)/F17</f>
        <v>-0.13849414188587753</v>
      </c>
      <c r="C17" s="358">
        <f>SUM(E17-D17)/D17</f>
        <v>-0.013003566568185913</v>
      </c>
      <c r="D17" s="295">
        <f>AVERAGE(D4:D15)</f>
        <v>269464.7166666666</v>
      </c>
      <c r="E17" s="295">
        <f>AVERAGE(E4:E15)</f>
        <v>265960.71428571426</v>
      </c>
      <c r="F17" s="295">
        <f>AVERAGE(F4:F15)</f>
        <v>308716.0833333333</v>
      </c>
      <c r="G17" s="295">
        <f aca="true" t="shared" si="47" ref="G17:R17">AVERAGE(G4:G15)</f>
        <v>309973.3333333333</v>
      </c>
      <c r="H17" s="295">
        <f t="shared" si="47"/>
        <v>278837.8333333333</v>
      </c>
      <c r="I17" s="295">
        <f t="shared" si="47"/>
        <v>248998.33333333334</v>
      </c>
      <c r="J17" s="295">
        <f t="shared" si="47"/>
        <v>200798</v>
      </c>
      <c r="K17" s="295">
        <f t="shared" si="47"/>
        <v>204390.91666666666</v>
      </c>
      <c r="L17" s="295">
        <f t="shared" si="47"/>
        <v>201723.25</v>
      </c>
      <c r="M17" s="295">
        <f t="shared" si="47"/>
        <v>204682.33333333334</v>
      </c>
      <c r="N17" s="295">
        <f t="shared" si="47"/>
        <v>193087.5</v>
      </c>
      <c r="O17" s="295">
        <f t="shared" si="47"/>
        <v>174741.75</v>
      </c>
      <c r="P17" s="295">
        <f t="shared" si="47"/>
        <v>150565.41666666666</v>
      </c>
      <c r="Q17" s="295">
        <f t="shared" si="47"/>
        <v>128964.83333333333</v>
      </c>
      <c r="R17" s="295">
        <f t="shared" si="47"/>
        <v>112776.66666666667</v>
      </c>
      <c r="S17" s="294">
        <f>SUM(V17-W17)/W17</f>
        <v>0.16254554235524107</v>
      </c>
      <c r="T17" s="358">
        <f>SUM(V17-U17)/U17</f>
        <v>0.5253713831349436</v>
      </c>
      <c r="U17" s="295">
        <f aca="true" t="shared" si="48" ref="U17:AA17">AVERAGE(U4:U15)</f>
        <v>99982.58333333333</v>
      </c>
      <c r="V17" s="295">
        <f t="shared" si="48"/>
        <v>152510.57142857142</v>
      </c>
      <c r="W17" s="295">
        <f t="shared" si="48"/>
        <v>131186.75</v>
      </c>
      <c r="X17" s="295">
        <f t="shared" si="48"/>
        <v>107570.25</v>
      </c>
      <c r="Y17" s="295">
        <f t="shared" si="48"/>
        <v>101784.91666666667</v>
      </c>
      <c r="Z17" s="102">
        <f t="shared" si="48"/>
        <v>83992.75</v>
      </c>
      <c r="AA17" s="102">
        <f t="shared" si="48"/>
        <v>75378.25</v>
      </c>
      <c r="AB17" s="102">
        <f aca="true" t="shared" si="49" ref="AB17:AI17">AVERAGE(AB4:AB15)</f>
        <v>71273.75</v>
      </c>
      <c r="AC17" s="102">
        <f t="shared" si="49"/>
        <v>79403.66666666667</v>
      </c>
      <c r="AD17" s="102">
        <f t="shared" si="49"/>
        <v>87029.41666666667</v>
      </c>
      <c r="AE17" s="102">
        <f t="shared" si="49"/>
        <v>82435.08333333333</v>
      </c>
      <c r="AF17" s="102">
        <f t="shared" si="49"/>
        <v>81137.25</v>
      </c>
      <c r="AG17" s="102">
        <f t="shared" si="49"/>
        <v>92277.16666666667</v>
      </c>
      <c r="AH17" s="102">
        <f t="shared" si="49"/>
        <v>90157.25</v>
      </c>
      <c r="AI17" s="312">
        <f t="shared" si="49"/>
        <v>86359.41666666667</v>
      </c>
      <c r="AJ17" s="294">
        <f>SUM(AM17-AN17)/AN17</f>
        <v>-0.048718821510312864</v>
      </c>
      <c r="AK17" s="358">
        <f>SUM(AM17-AL17)/AL17</f>
        <v>0.13269547703904117</v>
      </c>
      <c r="AL17" s="295">
        <f>AVERAGE(AL4:AL15)</f>
        <v>369447.3</v>
      </c>
      <c r="AM17" s="295">
        <f>AVERAGE(AM4:AM15)</f>
        <v>418471.28571428574</v>
      </c>
      <c r="AN17" s="295">
        <f>AVERAGE(AN4:AN15)</f>
        <v>439902.8333333333</v>
      </c>
      <c r="AO17" s="295">
        <f>AVERAGE(AO4:AO15)</f>
        <v>417543.5833333333</v>
      </c>
      <c r="AP17" s="295">
        <f>AVERAGE(AP4:AP16)</f>
        <v>547863.3846153846</v>
      </c>
      <c r="AQ17" s="677">
        <f>+I17+Z17</f>
        <v>332991.0833333334</v>
      </c>
      <c r="AR17" s="677">
        <f>+J17+AA17</f>
        <v>276176.25</v>
      </c>
      <c r="AS17" s="102">
        <v>275447</v>
      </c>
      <c r="AT17" s="102">
        <v>274155.25</v>
      </c>
      <c r="AU17" s="102">
        <v>285099.1666666667</v>
      </c>
      <c r="AV17" s="102">
        <v>268297.8333333333</v>
      </c>
      <c r="AW17" s="102">
        <v>248585.08333333334</v>
      </c>
      <c r="AX17" s="102">
        <v>235247.75</v>
      </c>
      <c r="AY17" s="102">
        <v>210742.33333333334</v>
      </c>
      <c r="AZ17" s="312">
        <v>191403.33333333334</v>
      </c>
      <c r="BA17" s="294">
        <f>SUM(BD17-BE17)/BE17</f>
        <v>-0.2844635320482709</v>
      </c>
      <c r="BB17" s="358">
        <f>SUM(BD17-BC17)/BC17</f>
        <v>-0.24083387146940544</v>
      </c>
      <c r="BC17" s="295">
        <f aca="true" t="shared" si="50" ref="BC17:BI17">AVERAGE(BC4:BC15)</f>
        <v>159729.7666666667</v>
      </c>
      <c r="BD17" s="295">
        <f t="shared" si="50"/>
        <v>121261.42857142857</v>
      </c>
      <c r="BE17" s="295">
        <f t="shared" si="50"/>
        <v>169469.25</v>
      </c>
      <c r="BF17" s="295">
        <f t="shared" si="50"/>
        <v>189986.83333333334</v>
      </c>
      <c r="BG17" s="295">
        <f t="shared" si="50"/>
        <v>178528.75</v>
      </c>
      <c r="BH17" s="102">
        <f t="shared" si="50"/>
        <v>148663.25</v>
      </c>
      <c r="BI17" s="102">
        <f t="shared" si="50"/>
        <v>112000.75</v>
      </c>
      <c r="BJ17" s="102">
        <f aca="true" t="shared" si="51" ref="BJ17:BQ17">AVERAGE(BJ4:BJ15)</f>
        <v>101556.16666666667</v>
      </c>
      <c r="BK17" s="102">
        <f t="shared" si="51"/>
        <v>90785.66666666667</v>
      </c>
      <c r="BL17" s="102">
        <f t="shared" si="51"/>
        <v>91687.16666666667</v>
      </c>
      <c r="BM17" s="102">
        <f t="shared" si="51"/>
        <v>91850.75</v>
      </c>
      <c r="BN17" s="102">
        <f t="shared" si="51"/>
        <v>85595.08333333333</v>
      </c>
      <c r="BO17" s="102">
        <f t="shared" si="51"/>
        <v>49207.333333333336</v>
      </c>
      <c r="BP17" s="102">
        <f t="shared" si="51"/>
        <v>36489.166666666664</v>
      </c>
      <c r="BQ17" s="312">
        <f t="shared" si="51"/>
        <v>37831.583333333336</v>
      </c>
      <c r="BR17" s="294">
        <f>SUM(BU17-BV17)/BV17</f>
        <v>-0.11428053721575811</v>
      </c>
      <c r="BS17" s="358">
        <f>SUM(BU17-BT17)/BT17</f>
        <v>0.019947288505034334</v>
      </c>
      <c r="BT17" s="295">
        <f>AVERAGE(BT4:BT15)</f>
        <v>529177.0666666665</v>
      </c>
      <c r="BU17" s="295">
        <f>AVERAGE(BU4:BU15)</f>
        <v>539732.7142857143</v>
      </c>
      <c r="BV17" s="295">
        <f>AVERAGE(BV4:BV15)</f>
        <v>609372.0833333334</v>
      </c>
      <c r="BW17" s="295">
        <f>AVERAGE(BW4:BW15)</f>
        <v>607530.4166666666</v>
      </c>
      <c r="BX17" s="102">
        <f aca="true" t="shared" si="52" ref="BX17:CG17">AVERAGE(BX4:BX15)</f>
        <v>559151.5</v>
      </c>
      <c r="BY17" s="102">
        <f t="shared" si="52"/>
        <v>481654.3333333333</v>
      </c>
      <c r="BZ17" s="102">
        <f t="shared" si="52"/>
        <v>388177</v>
      </c>
      <c r="CA17" s="102">
        <f t="shared" si="52"/>
        <v>377220.8333333333</v>
      </c>
      <c r="CB17" s="102">
        <f t="shared" si="52"/>
        <v>371912.5833333333</v>
      </c>
      <c r="CC17" s="102">
        <f t="shared" si="52"/>
        <v>383398.9166666667</v>
      </c>
      <c r="CD17" s="102">
        <f t="shared" si="52"/>
        <v>367373.3333333333</v>
      </c>
      <c r="CE17" s="102">
        <f t="shared" si="52"/>
        <v>341474.0833333333</v>
      </c>
      <c r="CF17" s="102">
        <f t="shared" si="52"/>
        <v>292049.9166666667</v>
      </c>
      <c r="CG17" s="312">
        <f t="shared" si="52"/>
        <v>255611.25</v>
      </c>
      <c r="CH17" s="1145"/>
      <c r="CI17" s="1145"/>
      <c r="CJ17" s="1145"/>
      <c r="CK17" s="1145"/>
      <c r="CL17" s="1145"/>
      <c r="CM17" s="1145"/>
      <c r="CN17" s="1145"/>
      <c r="CO17" s="935"/>
      <c r="CP17" s="935"/>
      <c r="CQ17" s="935"/>
      <c r="CR17" s="935"/>
      <c r="CS17" s="935"/>
    </row>
    <row r="18" spans="5:97" s="144" customFormat="1" ht="11.25">
      <c r="E18" s="104"/>
      <c r="F18" s="104"/>
      <c r="G18" s="104"/>
      <c r="V18" s="104"/>
      <c r="W18" s="104"/>
      <c r="X18" s="10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</row>
  </sheetData>
  <mergeCells count="11">
    <mergeCell ref="A1:A2"/>
    <mergeCell ref="S1:AI1"/>
    <mergeCell ref="S2:T2"/>
    <mergeCell ref="AJ1:AZ1"/>
    <mergeCell ref="AJ2:AK2"/>
    <mergeCell ref="B1:R1"/>
    <mergeCell ref="B2:C2"/>
    <mergeCell ref="BR1:CG1"/>
    <mergeCell ref="BA1:BQ1"/>
    <mergeCell ref="BA2:BB2"/>
    <mergeCell ref="BR2:BS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53"/>
  <sheetViews>
    <sheetView workbookViewId="0" topLeftCell="D42">
      <selection activeCell="I50" sqref="I50"/>
    </sheetView>
  </sheetViews>
  <sheetFormatPr defaultColWidth="9.140625" defaultRowHeight="12.75"/>
  <cols>
    <col min="1" max="1" width="10.140625" style="632" customWidth="1"/>
    <col min="2" max="3" width="7.8515625" style="662" customWidth="1"/>
    <col min="4" max="4" width="7.00390625" style="662" customWidth="1"/>
    <col min="5" max="5" width="7.8515625" style="662" customWidth="1"/>
    <col min="6" max="6" width="8.7109375" style="662" customWidth="1"/>
    <col min="7" max="7" width="7.00390625" style="662" customWidth="1"/>
    <col min="8" max="8" width="9.140625" style="632" customWidth="1"/>
    <col min="9" max="9" width="17.28125" style="632" customWidth="1"/>
    <col min="10" max="11" width="7.8515625" style="662" customWidth="1"/>
    <col min="12" max="12" width="7.00390625" style="662" customWidth="1"/>
    <col min="13" max="14" width="8.7109375" style="662" bestFit="1" customWidth="1"/>
    <col min="15" max="15" width="7.00390625" style="662" customWidth="1"/>
    <col min="16" max="16384" width="9.140625" style="632" customWidth="1"/>
  </cols>
  <sheetData>
    <row r="1" spans="1:15" ht="11.25">
      <c r="A1" s="1997" t="s">
        <v>62</v>
      </c>
      <c r="B1" s="1998"/>
      <c r="C1" s="1998"/>
      <c r="D1" s="1998"/>
      <c r="E1" s="1998"/>
      <c r="F1" s="1998"/>
      <c r="G1" s="1999"/>
      <c r="I1" s="1997" t="s">
        <v>75</v>
      </c>
      <c r="J1" s="1998"/>
      <c r="K1" s="1998"/>
      <c r="L1" s="1998"/>
      <c r="M1" s="1998"/>
      <c r="N1" s="1998"/>
      <c r="O1" s="1999"/>
    </row>
    <row r="2" spans="1:15" ht="11.25">
      <c r="A2" s="2008" t="s">
        <v>52</v>
      </c>
      <c r="B2" s="2009"/>
      <c r="C2" s="2009"/>
      <c r="D2" s="2009"/>
      <c r="E2" s="2009"/>
      <c r="F2" s="2009"/>
      <c r="G2" s="2010"/>
      <c r="I2" s="2008" t="s">
        <v>52</v>
      </c>
      <c r="J2" s="2009"/>
      <c r="K2" s="2009"/>
      <c r="L2" s="2009"/>
      <c r="M2" s="2009"/>
      <c r="N2" s="2009"/>
      <c r="O2" s="2010"/>
    </row>
    <row r="3" spans="1:15" ht="12" thickBot="1">
      <c r="A3" s="2000" t="s">
        <v>53</v>
      </c>
      <c r="B3" s="2019"/>
      <c r="C3" s="2019"/>
      <c r="D3" s="2019"/>
      <c r="E3" s="2001"/>
      <c r="F3" s="2001"/>
      <c r="G3" s="2002"/>
      <c r="I3" s="2000" t="s">
        <v>53</v>
      </c>
      <c r="J3" s="2001"/>
      <c r="K3" s="2001"/>
      <c r="L3" s="2001"/>
      <c r="M3" s="2001"/>
      <c r="N3" s="2001"/>
      <c r="O3" s="2002"/>
    </row>
    <row r="4" spans="1:15" ht="12" thickBot="1">
      <c r="A4" s="655"/>
      <c r="B4" s="2003" t="s">
        <v>19</v>
      </c>
      <c r="C4" s="2004"/>
      <c r="D4" s="2005"/>
      <c r="E4" s="2006" t="s">
        <v>230</v>
      </c>
      <c r="F4" s="2004"/>
      <c r="G4" s="2005"/>
      <c r="I4" s="655"/>
      <c r="J4" s="2003" t="s">
        <v>19</v>
      </c>
      <c r="K4" s="2004"/>
      <c r="L4" s="2005"/>
      <c r="M4" s="2006" t="s">
        <v>230</v>
      </c>
      <c r="N4" s="2004"/>
      <c r="O4" s="2005"/>
    </row>
    <row r="5" spans="1:15" ht="12" thickBot="1">
      <c r="A5" s="656"/>
      <c r="B5" s="626">
        <v>2008</v>
      </c>
      <c r="C5" s="627">
        <v>2007</v>
      </c>
      <c r="D5" s="628" t="s">
        <v>44</v>
      </c>
      <c r="E5" s="623">
        <v>2008</v>
      </c>
      <c r="F5" s="624">
        <v>2007</v>
      </c>
      <c r="G5" s="625" t="s">
        <v>44</v>
      </c>
      <c r="I5" s="656"/>
      <c r="J5" s="623">
        <v>2008</v>
      </c>
      <c r="K5" s="624">
        <v>2007</v>
      </c>
      <c r="L5" s="625" t="s">
        <v>44</v>
      </c>
      <c r="M5" s="623">
        <v>2008</v>
      </c>
      <c r="N5" s="624">
        <v>2007</v>
      </c>
      <c r="O5" s="625" t="s">
        <v>44</v>
      </c>
    </row>
    <row r="6" spans="1:15" ht="11.25">
      <c r="A6" s="636" t="s">
        <v>54</v>
      </c>
      <c r="B6" s="1542">
        <v>272350</v>
      </c>
      <c r="C6" s="1543">
        <v>332402</v>
      </c>
      <c r="D6" s="629">
        <f>SUM(B6-C6)/C6</f>
        <v>-0.1806607661807089</v>
      </c>
      <c r="E6" s="637">
        <f>SUM('LONG BEACH'!E4:E10)</f>
        <v>1861725</v>
      </c>
      <c r="F6" s="637">
        <f>SUM('LONG BEACH'!F4:F10)</f>
        <v>2132759</v>
      </c>
      <c r="G6" s="612">
        <f>SUM(E6-F6)/F6</f>
        <v>-0.12708140019570893</v>
      </c>
      <c r="I6" s="638" t="s">
        <v>87</v>
      </c>
      <c r="J6" s="1112"/>
      <c r="K6" s="1113"/>
      <c r="L6" s="1114"/>
      <c r="M6" s="642"/>
      <c r="N6" s="640"/>
      <c r="O6" s="641"/>
    </row>
    <row r="7" spans="1:15" ht="11.25">
      <c r="A7" s="643" t="s">
        <v>55</v>
      </c>
      <c r="B7" s="1317">
        <v>153364</v>
      </c>
      <c r="C7" s="648">
        <v>135089</v>
      </c>
      <c r="D7" s="160">
        <f>SUM(B7-C7)/C7</f>
        <v>0.13528118499655784</v>
      </c>
      <c r="E7" s="381">
        <f>SUM('LONG BEACH'!V4:V10)</f>
        <v>1067574</v>
      </c>
      <c r="F7" s="381">
        <f>SUM('LONG BEACH'!W4:W10)</f>
        <v>866362</v>
      </c>
      <c r="G7" s="160">
        <f>SUM(E7-F7)/F7</f>
        <v>0.23224933688227323</v>
      </c>
      <c r="I7" s="643" t="s">
        <v>54</v>
      </c>
      <c r="J7" s="1806">
        <v>57820</v>
      </c>
      <c r="K7" s="1805">
        <v>76200</v>
      </c>
      <c r="L7" s="1785">
        <f aca="true" t="shared" si="0" ref="L7:L12">SUM(J7-K7)/K7</f>
        <v>-0.24120734908136482</v>
      </c>
      <c r="M7" s="381">
        <f>SUM('SEATTLE '!C4:C10)</f>
        <v>404911</v>
      </c>
      <c r="N7" s="381">
        <f>SUM('SEATTLE '!D4:D10)</f>
        <v>465193</v>
      </c>
      <c r="O7" s="160">
        <f aca="true" t="shared" si="1" ref="O7:O12">SUM(M7-N7)/N7</f>
        <v>-0.12958492496662674</v>
      </c>
    </row>
    <row r="8" spans="1:15" ht="11.25">
      <c r="A8" s="546" t="s">
        <v>56</v>
      </c>
      <c r="B8" s="315">
        <f>SUM(B6:B7)</f>
        <v>425714</v>
      </c>
      <c r="C8" s="101">
        <f>SUM(C6:C7)</f>
        <v>467491</v>
      </c>
      <c r="D8" s="99">
        <f>SUM(B8-C8)/C8</f>
        <v>-0.08936428722691987</v>
      </c>
      <c r="E8" s="644">
        <f>SUM(E6:E7)</f>
        <v>2929299</v>
      </c>
      <c r="F8" s="644">
        <f>SUM(F6:F7)</f>
        <v>2999121</v>
      </c>
      <c r="G8" s="99">
        <f>SUM(E8-F8)/F8</f>
        <v>-0.023280821280635227</v>
      </c>
      <c r="I8" s="643" t="s">
        <v>55</v>
      </c>
      <c r="J8" s="1806">
        <v>36561</v>
      </c>
      <c r="K8" s="1805">
        <v>39005</v>
      </c>
      <c r="L8" s="1785">
        <f t="shared" si="0"/>
        <v>-0.06265863350852455</v>
      </c>
      <c r="M8" s="381">
        <f>SUM('SEATTLE '!K4:K10)</f>
        <v>278653</v>
      </c>
      <c r="N8" s="381">
        <f>SUM('SEATTLE '!L4:L10)</f>
        <v>274199</v>
      </c>
      <c r="O8" s="160">
        <f t="shared" si="1"/>
        <v>0.01624367703748008</v>
      </c>
    </row>
    <row r="9" spans="1:15" ht="11.25">
      <c r="A9" s="643" t="s">
        <v>57</v>
      </c>
      <c r="B9" s="1317">
        <v>137989</v>
      </c>
      <c r="C9" s="648">
        <v>179937</v>
      </c>
      <c r="D9" s="160">
        <f>SUM(B9-C9)/C9</f>
        <v>-0.23312603855793973</v>
      </c>
      <c r="E9" s="381">
        <f>SUM('LONG BEACH'!BD4:BD10)</f>
        <v>848830</v>
      </c>
      <c r="F9" s="381">
        <f>SUM('LONG BEACH'!BE4:BE10)</f>
        <v>1169797</v>
      </c>
      <c r="G9" s="160">
        <f>SUM(E9-F9)/F9</f>
        <v>-0.2743783750513978</v>
      </c>
      <c r="I9" s="643" t="s">
        <v>57</v>
      </c>
      <c r="J9" s="1806">
        <v>21727</v>
      </c>
      <c r="K9" s="1805">
        <v>27775</v>
      </c>
      <c r="L9" s="1785">
        <f t="shared" si="0"/>
        <v>-0.21774977497749776</v>
      </c>
      <c r="M9" s="381">
        <f>SUM('SEATTLE '!AA4:AA10)</f>
        <v>143564</v>
      </c>
      <c r="N9" s="381">
        <f>SUM('SEATTLE '!AB4:AB10)</f>
        <v>174584</v>
      </c>
      <c r="O9" s="160">
        <f t="shared" si="1"/>
        <v>-0.1776795124410026</v>
      </c>
    </row>
    <row r="10" spans="1:15" ht="12" thickBot="1">
      <c r="A10" s="645" t="s">
        <v>58</v>
      </c>
      <c r="B10" s="314">
        <f>SUM(B8:B9)</f>
        <v>563703</v>
      </c>
      <c r="C10" s="102">
        <f>SUM(C8:C9)</f>
        <v>647428</v>
      </c>
      <c r="D10" s="100">
        <f>SUM(B10-C10)/C10</f>
        <v>-0.12931939922277072</v>
      </c>
      <c r="E10" s="382">
        <f>SUM(E8:E9)</f>
        <v>3778129</v>
      </c>
      <c r="F10" s="102">
        <f>SUM(F8:F9)</f>
        <v>4168918</v>
      </c>
      <c r="G10" s="100">
        <f>SUM(E10-F10)/F10</f>
        <v>-0.09373871109961865</v>
      </c>
      <c r="H10" s="646"/>
      <c r="I10" s="546" t="s">
        <v>90</v>
      </c>
      <c r="J10" s="1403">
        <f>SUM(J7:J9)</f>
        <v>116108</v>
      </c>
      <c r="K10" s="1404">
        <f>SUM(K7:K9)</f>
        <v>142980</v>
      </c>
      <c r="L10" s="1786">
        <f t="shared" si="0"/>
        <v>-0.18794236956217653</v>
      </c>
      <c r="M10" s="644">
        <f>SUM(M7:M9)</f>
        <v>827128</v>
      </c>
      <c r="N10" s="644">
        <f>SUM(N7:N9)</f>
        <v>913976</v>
      </c>
      <c r="O10" s="99">
        <f t="shared" si="1"/>
        <v>-0.09502218876644464</v>
      </c>
    </row>
    <row r="11" spans="1:15" ht="11.25">
      <c r="A11" s="1997" t="s">
        <v>59</v>
      </c>
      <c r="B11" s="2007"/>
      <c r="C11" s="2007"/>
      <c r="D11" s="2007"/>
      <c r="E11" s="1998"/>
      <c r="F11" s="1998"/>
      <c r="G11" s="1999"/>
      <c r="I11" s="643" t="s">
        <v>88</v>
      </c>
      <c r="J11" s="1806">
        <v>28365</v>
      </c>
      <c r="K11" s="1805">
        <v>30085</v>
      </c>
      <c r="L11" s="1785">
        <f t="shared" si="0"/>
        <v>-0.05717134784776467</v>
      </c>
      <c r="M11" s="381">
        <f>SUM('SEATTLE '!AI4:AI10)</f>
        <v>198452</v>
      </c>
      <c r="N11" s="381">
        <f>SUM('SEATTLE '!AJ4:AJ10)</f>
        <v>201015</v>
      </c>
      <c r="O11" s="160">
        <f t="shared" si="1"/>
        <v>-0.012750292266746262</v>
      </c>
    </row>
    <row r="12" spans="1:15" ht="12" thickBot="1">
      <c r="A12" s="2008" t="s">
        <v>52</v>
      </c>
      <c r="B12" s="2009"/>
      <c r="C12" s="2009"/>
      <c r="D12" s="2009"/>
      <c r="E12" s="2009"/>
      <c r="F12" s="2009"/>
      <c r="G12" s="2010"/>
      <c r="I12" s="645" t="s">
        <v>58</v>
      </c>
      <c r="J12" s="1784">
        <f>SUM(J10:J11)</f>
        <v>144473</v>
      </c>
      <c r="K12" s="335">
        <f>SUM(K10:K11)</f>
        <v>173065</v>
      </c>
      <c r="L12" s="1787">
        <f t="shared" si="0"/>
        <v>-0.1652096033282293</v>
      </c>
      <c r="M12" s="382">
        <f>SUM(M10:M11)</f>
        <v>1025580</v>
      </c>
      <c r="N12" s="102">
        <f>SUM(N10:N11)</f>
        <v>1114991</v>
      </c>
      <c r="O12" s="100">
        <f t="shared" si="1"/>
        <v>-0.08018988494077531</v>
      </c>
    </row>
    <row r="13" spans="1:15" ht="12" thickBot="1">
      <c r="A13" s="2000" t="s">
        <v>53</v>
      </c>
      <c r="B13" s="2001"/>
      <c r="C13" s="2001"/>
      <c r="D13" s="2001"/>
      <c r="E13" s="2001"/>
      <c r="F13" s="2001"/>
      <c r="G13" s="2002"/>
      <c r="I13" s="1916" t="s">
        <v>74</v>
      </c>
      <c r="J13" s="2015"/>
      <c r="K13" s="2015"/>
      <c r="L13" s="2015"/>
      <c r="M13" s="1917"/>
      <c r="N13" s="1917"/>
      <c r="O13" s="1918"/>
    </row>
    <row r="14" spans="1:15" ht="12" thickBot="1">
      <c r="A14" s="655"/>
      <c r="B14" s="2003" t="s">
        <v>19</v>
      </c>
      <c r="C14" s="2004"/>
      <c r="D14" s="2005"/>
      <c r="E14" s="2006" t="s">
        <v>230</v>
      </c>
      <c r="F14" s="2004"/>
      <c r="G14" s="2005"/>
      <c r="I14" s="2016" t="s">
        <v>52</v>
      </c>
      <c r="J14" s="2017"/>
      <c r="K14" s="2017"/>
      <c r="L14" s="2017"/>
      <c r="M14" s="2017"/>
      <c r="N14" s="2017"/>
      <c r="O14" s="2018"/>
    </row>
    <row r="15" spans="1:15" ht="12" thickBot="1">
      <c r="A15" s="656"/>
      <c r="B15" s="623">
        <v>2008</v>
      </c>
      <c r="C15" s="624">
        <v>2007</v>
      </c>
      <c r="D15" s="625" t="s">
        <v>44</v>
      </c>
      <c r="E15" s="623">
        <v>2008</v>
      </c>
      <c r="F15" s="624">
        <v>2007</v>
      </c>
      <c r="G15" s="625" t="s">
        <v>44</v>
      </c>
      <c r="H15" s="647"/>
      <c r="I15" s="2000" t="s">
        <v>53</v>
      </c>
      <c r="J15" s="2001"/>
      <c r="K15" s="2001"/>
      <c r="L15" s="2001"/>
      <c r="M15" s="2001"/>
      <c r="N15" s="2001"/>
      <c r="O15" s="2002"/>
    </row>
    <row r="16" spans="1:15" ht="12" thickBot="1">
      <c r="A16" s="636" t="s">
        <v>54</v>
      </c>
      <c r="B16" s="1542">
        <v>367496.5</v>
      </c>
      <c r="C16" s="1543">
        <v>382247.05</v>
      </c>
      <c r="D16" s="629">
        <f>SUM(B16-C16)/C16</f>
        <v>-0.03858904862705936</v>
      </c>
      <c r="E16" s="637">
        <f>SUM('LOS ANGELES'!E4:E10)</f>
        <v>2363958.8499999996</v>
      </c>
      <c r="F16" s="637">
        <f>SUM('LOS ANGELES'!F4:F10)</f>
        <v>2531408.05</v>
      </c>
      <c r="G16" s="612">
        <f>SUM(E16-F16)/F16</f>
        <v>-0.06614864008194973</v>
      </c>
      <c r="H16" s="647"/>
      <c r="I16" s="638"/>
      <c r="J16" s="2003" t="s">
        <v>19</v>
      </c>
      <c r="K16" s="2004"/>
      <c r="L16" s="2005"/>
      <c r="M16" s="2006" t="s">
        <v>230</v>
      </c>
      <c r="N16" s="2004"/>
      <c r="O16" s="2005"/>
    </row>
    <row r="17" spans="1:15" ht="12" thickBot="1">
      <c r="A17" s="643" t="s">
        <v>55</v>
      </c>
      <c r="B17" s="651">
        <v>173650.5</v>
      </c>
      <c r="C17" s="648">
        <v>129591.75</v>
      </c>
      <c r="D17" s="160">
        <f>SUM(B17-C17)/C17</f>
        <v>0.3399811330582387</v>
      </c>
      <c r="E17" s="381">
        <f>SUM('LOS ANGELES'!W4:W10)</f>
        <v>1092677.85</v>
      </c>
      <c r="F17" s="381">
        <f>SUM('LOS ANGELES'!X4:X10)</f>
        <v>894315.5</v>
      </c>
      <c r="G17" s="160">
        <f>SUM(E17-F17)/F17</f>
        <v>0.2218035469585399</v>
      </c>
      <c r="I17" s="643"/>
      <c r="J17" s="626">
        <v>2008</v>
      </c>
      <c r="K17" s="627">
        <v>2007</v>
      </c>
      <c r="L17" s="628" t="s">
        <v>44</v>
      </c>
      <c r="M17" s="623">
        <v>2007</v>
      </c>
      <c r="N17" s="624">
        <v>2006</v>
      </c>
      <c r="O17" s="625" t="s">
        <v>44</v>
      </c>
    </row>
    <row r="18" spans="1:15" ht="11.25">
      <c r="A18" s="546" t="s">
        <v>56</v>
      </c>
      <c r="B18" s="315">
        <f>SUM(B16:B17)</f>
        <v>541147</v>
      </c>
      <c r="C18" s="101">
        <f>SUM(C16:C17)</f>
        <v>511838.8</v>
      </c>
      <c r="D18" s="99">
        <f>SUM(B18-C18)/C18</f>
        <v>0.05726060626900503</v>
      </c>
      <c r="E18" s="644">
        <f>SUM(E16:E17)</f>
        <v>3456636.6999999997</v>
      </c>
      <c r="F18" s="644">
        <f>SUM(F16:F17)</f>
        <v>3425723.55</v>
      </c>
      <c r="G18" s="99">
        <f>SUM(E18-F18)/F18</f>
        <v>0.00902383089260075</v>
      </c>
      <c r="I18" s="546" t="s">
        <v>87</v>
      </c>
      <c r="J18" s="1112"/>
      <c r="K18" s="1113"/>
      <c r="L18" s="1114"/>
      <c r="M18" s="642"/>
      <c r="N18" s="640"/>
      <c r="O18" s="641"/>
    </row>
    <row r="19" spans="1:15" ht="11.25">
      <c r="A19" s="643" t="s">
        <v>57</v>
      </c>
      <c r="B19" s="651">
        <v>157012.3</v>
      </c>
      <c r="C19" s="648">
        <v>204480.6</v>
      </c>
      <c r="D19" s="160">
        <f>SUM(B19-C19)/C19</f>
        <v>-0.23214084856949763</v>
      </c>
      <c r="E19" s="381">
        <f>SUM('LOS ANGELES'!BG4:BG10)</f>
        <v>1016001.75</v>
      </c>
      <c r="F19" s="381">
        <f>SUM('LOS ANGELES'!BH4:BH10)</f>
        <v>1338752.55</v>
      </c>
      <c r="G19" s="160">
        <f>SUM(E19-F19)/F19</f>
        <v>-0.2410832382728235</v>
      </c>
      <c r="I19" s="643" t="s">
        <v>54</v>
      </c>
      <c r="J19" s="316">
        <v>48343</v>
      </c>
      <c r="K19" s="158">
        <v>53697</v>
      </c>
      <c r="L19" s="160">
        <f aca="true" t="shared" si="2" ref="L19:L24">SUM(J19-K19)/K19</f>
        <v>-0.09970761867515876</v>
      </c>
      <c r="M19" s="381">
        <f>SUM(TACOMA!C5:C11)</f>
        <v>376121</v>
      </c>
      <c r="N19" s="381">
        <f>SUM(TACOMA!D5:D11)</f>
        <v>402120</v>
      </c>
      <c r="O19" s="160">
        <f aca="true" t="shared" si="3" ref="O19:O24">SUM(M19-N19)/N19</f>
        <v>-0.06465482940415797</v>
      </c>
    </row>
    <row r="20" spans="1:15" ht="12" thickBot="1">
      <c r="A20" s="548" t="s">
        <v>58</v>
      </c>
      <c r="B20" s="314">
        <f>SUM(B18:B19)</f>
        <v>698159.3</v>
      </c>
      <c r="C20" s="102">
        <f>SUM(C18:C19)</f>
        <v>716319.4</v>
      </c>
      <c r="D20" s="100">
        <f>SUM(B20-C20)/C20</f>
        <v>-0.025351958916650836</v>
      </c>
      <c r="E20" s="382">
        <f>SUM(E18:E19)</f>
        <v>4472638.449999999</v>
      </c>
      <c r="F20" s="314">
        <f>SUM(F18:F19)</f>
        <v>4764476.1</v>
      </c>
      <c r="G20" s="100">
        <f>SUM(E20-F20)/F20</f>
        <v>-0.06125283113499098</v>
      </c>
      <c r="H20" s="646"/>
      <c r="I20" s="643" t="s">
        <v>55</v>
      </c>
      <c r="J20" s="316">
        <v>37261</v>
      </c>
      <c r="K20" s="158">
        <v>30724</v>
      </c>
      <c r="L20" s="160">
        <f t="shared" si="2"/>
        <v>0.21276526493946102</v>
      </c>
      <c r="M20" s="381">
        <f>SUM(TACOMA!K5:K11)</f>
        <v>304319</v>
      </c>
      <c r="N20" s="381">
        <f>SUM(TACOMA!L5:L11)</f>
        <v>249172</v>
      </c>
      <c r="O20" s="160">
        <f t="shared" si="3"/>
        <v>0.22132101520235017</v>
      </c>
    </row>
    <row r="21" spans="1:15" ht="11.25">
      <c r="A21" s="2026" t="s">
        <v>154</v>
      </c>
      <c r="B21" s="2027"/>
      <c r="C21" s="2027"/>
      <c r="D21" s="2027"/>
      <c r="E21" s="2028"/>
      <c r="F21" s="2028"/>
      <c r="G21" s="2029"/>
      <c r="I21" s="643" t="s">
        <v>57</v>
      </c>
      <c r="J21" s="316">
        <v>18739</v>
      </c>
      <c r="K21" s="158">
        <v>20198</v>
      </c>
      <c r="L21" s="160">
        <f t="shared" si="2"/>
        <v>-0.07223487474007327</v>
      </c>
      <c r="M21" s="381">
        <f>SUM(TACOMA!AA5:AA11)</f>
        <v>116593</v>
      </c>
      <c r="N21" s="381">
        <f>SUM(TACOMA!AB5:AB11)</f>
        <v>149594</v>
      </c>
      <c r="O21" s="160">
        <f t="shared" si="3"/>
        <v>-0.2206037675307833</v>
      </c>
    </row>
    <row r="22" spans="1:15" ht="11.25">
      <c r="A22" s="2008" t="s">
        <v>52</v>
      </c>
      <c r="B22" s="2009"/>
      <c r="C22" s="2009"/>
      <c r="D22" s="2009"/>
      <c r="E22" s="2009"/>
      <c r="F22" s="2009"/>
      <c r="G22" s="2010"/>
      <c r="I22" s="546" t="s">
        <v>90</v>
      </c>
      <c r="J22" s="315">
        <f>SUM(J19:J21)</f>
        <v>104343</v>
      </c>
      <c r="K22" s="644">
        <f>SUM(K19:K21)</f>
        <v>104619</v>
      </c>
      <c r="L22" s="99">
        <f t="shared" si="2"/>
        <v>-0.0026381441229604563</v>
      </c>
      <c r="M22" s="644">
        <f>SUM(M19:M21)</f>
        <v>797033</v>
      </c>
      <c r="N22" s="644">
        <f>SUM(N19:N21)</f>
        <v>800886</v>
      </c>
      <c r="O22" s="99">
        <f t="shared" si="3"/>
        <v>-0.00481092190399133</v>
      </c>
    </row>
    <row r="23" spans="1:15" ht="12" thickBot="1">
      <c r="A23" s="2000" t="s">
        <v>53</v>
      </c>
      <c r="B23" s="2001"/>
      <c r="C23" s="2001"/>
      <c r="D23" s="2001"/>
      <c r="E23" s="2001"/>
      <c r="F23" s="2001"/>
      <c r="G23" s="2002"/>
      <c r="I23" s="643" t="s">
        <v>88</v>
      </c>
      <c r="J23" s="316">
        <v>45750</v>
      </c>
      <c r="K23" s="158">
        <v>48500</v>
      </c>
      <c r="L23" s="160">
        <f t="shared" si="2"/>
        <v>-0.05670103092783505</v>
      </c>
      <c r="M23" s="381">
        <f>SUM(TACOMA!AI5:AI11)</f>
        <v>296990</v>
      </c>
      <c r="N23" s="381">
        <f>SUM(TACOMA!AJ5:AJ11)</f>
        <v>301821</v>
      </c>
      <c r="O23" s="160">
        <f t="shared" si="3"/>
        <v>-0.016006175845948427</v>
      </c>
    </row>
    <row r="24" spans="1:15" ht="12" thickBot="1">
      <c r="A24" s="643"/>
      <c r="B24" s="2003" t="s">
        <v>19</v>
      </c>
      <c r="C24" s="2004"/>
      <c r="D24" s="2005"/>
      <c r="E24" s="2006" t="s">
        <v>230</v>
      </c>
      <c r="F24" s="2004"/>
      <c r="G24" s="2005"/>
      <c r="I24" s="548" t="s">
        <v>58</v>
      </c>
      <c r="J24" s="314">
        <f>SUM(TACOMA!AQ6)</f>
        <v>148901</v>
      </c>
      <c r="K24" s="102">
        <f>SUM(TACOMA!AR6)</f>
        <v>149336</v>
      </c>
      <c r="L24" s="100">
        <f t="shared" si="2"/>
        <v>-0.002912894412599775</v>
      </c>
      <c r="M24" s="382">
        <f>SUM(M22:M23)</f>
        <v>1094023</v>
      </c>
      <c r="N24" s="382">
        <f>SUM(N22:N23)</f>
        <v>1102707</v>
      </c>
      <c r="O24" s="100">
        <f t="shared" si="3"/>
        <v>-0.007875165388448608</v>
      </c>
    </row>
    <row r="25" spans="1:15" ht="12" thickBot="1">
      <c r="A25" s="643"/>
      <c r="B25" s="623">
        <v>2008</v>
      </c>
      <c r="C25" s="624">
        <v>2007</v>
      </c>
      <c r="D25" s="625" t="s">
        <v>44</v>
      </c>
      <c r="E25" s="623">
        <v>2008</v>
      </c>
      <c r="F25" s="624">
        <v>2007</v>
      </c>
      <c r="G25" s="625" t="s">
        <v>44</v>
      </c>
      <c r="I25" s="2011" t="s">
        <v>91</v>
      </c>
      <c r="J25" s="2012"/>
      <c r="K25" s="2012"/>
      <c r="L25" s="2012"/>
      <c r="M25" s="2013"/>
      <c r="N25" s="2013"/>
      <c r="O25" s="2014"/>
    </row>
    <row r="26" spans="1:15" ht="12" thickBot="1">
      <c r="A26" s="643" t="s">
        <v>54</v>
      </c>
      <c r="B26" s="1110">
        <f>+B6+B16</f>
        <v>639846.5</v>
      </c>
      <c r="C26" s="1111">
        <f>+C6+C16</f>
        <v>714649.05</v>
      </c>
      <c r="D26" s="629">
        <f>SUM(B26-C26)/C26</f>
        <v>-0.10467032734458968</v>
      </c>
      <c r="E26" s="637">
        <f aca="true" t="shared" si="4" ref="E26:F30">+E6+E16</f>
        <v>4225683.85</v>
      </c>
      <c r="F26" s="649">
        <f t="shared" si="4"/>
        <v>4664167.05</v>
      </c>
      <c r="G26" s="612">
        <f>SUM(E26-F26)/F26</f>
        <v>-0.09401104104965542</v>
      </c>
      <c r="I26" s="650"/>
      <c r="J26" s="2003" t="s">
        <v>19</v>
      </c>
      <c r="K26" s="2004"/>
      <c r="L26" s="2005"/>
      <c r="M26" s="2006" t="s">
        <v>230</v>
      </c>
      <c r="N26" s="2004"/>
      <c r="O26" s="2005"/>
    </row>
    <row r="27" spans="1:15" ht="12" thickBot="1">
      <c r="A27" s="643" t="s">
        <v>55</v>
      </c>
      <c r="B27" s="316">
        <f>+B7+B17</f>
        <v>327014.5</v>
      </c>
      <c r="C27" s="158">
        <f>+C7+C17</f>
        <v>264680.75</v>
      </c>
      <c r="D27" s="160">
        <f>SUM(B27-C27)/C27</f>
        <v>0.23550541548639256</v>
      </c>
      <c r="E27" s="381">
        <f t="shared" si="4"/>
        <v>2160251.85</v>
      </c>
      <c r="F27" s="158">
        <f t="shared" si="4"/>
        <v>1760677.5</v>
      </c>
      <c r="G27" s="160">
        <f>SUM(E27-F27)/F27</f>
        <v>0.22694352032101284</v>
      </c>
      <c r="I27" s="633"/>
      <c r="J27" s="623">
        <v>2008</v>
      </c>
      <c r="K27" s="624">
        <v>2007</v>
      </c>
      <c r="L27" s="625" t="s">
        <v>44</v>
      </c>
      <c r="M27" s="623">
        <v>2008</v>
      </c>
      <c r="N27" s="624">
        <v>2007</v>
      </c>
      <c r="O27" s="625" t="s">
        <v>44</v>
      </c>
    </row>
    <row r="28" spans="1:15" ht="11.25">
      <c r="A28" s="546" t="s">
        <v>56</v>
      </c>
      <c r="B28" s="315">
        <f aca="true" t="shared" si="5" ref="B28:C30">+B8+B18</f>
        <v>966861</v>
      </c>
      <c r="C28" s="101">
        <f t="shared" si="5"/>
        <v>979329.8</v>
      </c>
      <c r="D28" s="99">
        <f>SUM(B28-C28)/C28</f>
        <v>-0.012731972416238172</v>
      </c>
      <c r="E28" s="644">
        <f t="shared" si="4"/>
        <v>6385935.699999999</v>
      </c>
      <c r="F28" s="101">
        <f t="shared" si="4"/>
        <v>6424844.55</v>
      </c>
      <c r="G28" s="99">
        <f>SUM(E28-F28)/F28</f>
        <v>-0.006055998662255659</v>
      </c>
      <c r="I28" s="636" t="s">
        <v>87</v>
      </c>
      <c r="J28" s="639"/>
      <c r="K28" s="640"/>
      <c r="L28" s="641"/>
      <c r="M28" s="642"/>
      <c r="N28" s="640"/>
      <c r="O28" s="641"/>
    </row>
    <row r="29" spans="1:15" ht="11.25">
      <c r="A29" s="643" t="s">
        <v>57</v>
      </c>
      <c r="B29" s="316">
        <f t="shared" si="5"/>
        <v>295001.3</v>
      </c>
      <c r="C29" s="158">
        <f t="shared" si="5"/>
        <v>384417.6</v>
      </c>
      <c r="D29" s="160">
        <f>SUM(B29-C29)/C29</f>
        <v>-0.23260199324900835</v>
      </c>
      <c r="E29" s="381">
        <f t="shared" si="4"/>
        <v>1864831.75</v>
      </c>
      <c r="F29" s="158">
        <f t="shared" si="4"/>
        <v>2508549.55</v>
      </c>
      <c r="G29" s="160">
        <f>SUM(E29-F29)/F29</f>
        <v>-0.25660956148942715</v>
      </c>
      <c r="I29" s="643" t="s">
        <v>54</v>
      </c>
      <c r="J29" s="651">
        <f aca="true" t="shared" si="6" ref="J29:K31">+J7+J19</f>
        <v>106163</v>
      </c>
      <c r="K29" s="652">
        <f t="shared" si="6"/>
        <v>129897</v>
      </c>
      <c r="L29" s="160">
        <f aca="true" t="shared" si="7" ref="L29:L34">SUM(J29-K29)/K29</f>
        <v>-0.1827139964741295</v>
      </c>
      <c r="M29" s="652">
        <f aca="true" t="shared" si="8" ref="M29:N31">+M7+M19</f>
        <v>781032</v>
      </c>
      <c r="N29" s="648">
        <f t="shared" si="8"/>
        <v>867313</v>
      </c>
      <c r="O29" s="160">
        <f aca="true" t="shared" si="9" ref="O29:O34">SUM(M29-N29)/N29</f>
        <v>-0.09948081027264667</v>
      </c>
    </row>
    <row r="30" spans="1:15" ht="12" thickBot="1">
      <c r="A30" s="548" t="s">
        <v>58</v>
      </c>
      <c r="B30" s="314">
        <f t="shared" si="5"/>
        <v>1261862.3</v>
      </c>
      <c r="C30" s="102">
        <f t="shared" si="5"/>
        <v>1363747.4</v>
      </c>
      <c r="D30" s="100">
        <f>SUM(B30-C30)/C30</f>
        <v>-0.07470965664169175</v>
      </c>
      <c r="E30" s="382">
        <f t="shared" si="4"/>
        <v>8250767.449999999</v>
      </c>
      <c r="F30" s="102">
        <f t="shared" si="4"/>
        <v>8933394.1</v>
      </c>
      <c r="G30" s="100">
        <f>SUM(E30-F30)/F30</f>
        <v>-0.07641291119127952</v>
      </c>
      <c r="I30" s="643" t="s">
        <v>55</v>
      </c>
      <c r="J30" s="651">
        <f t="shared" si="6"/>
        <v>73822</v>
      </c>
      <c r="K30" s="652">
        <f t="shared" si="6"/>
        <v>69729</v>
      </c>
      <c r="L30" s="160">
        <f t="shared" si="7"/>
        <v>0.05869867630397682</v>
      </c>
      <c r="M30" s="652">
        <f t="shared" si="8"/>
        <v>582972</v>
      </c>
      <c r="N30" s="648">
        <f t="shared" si="8"/>
        <v>523371</v>
      </c>
      <c r="O30" s="160">
        <f t="shared" si="9"/>
        <v>0.11387906475521188</v>
      </c>
    </row>
    <row r="31" spans="1:15" ht="12" thickBot="1">
      <c r="A31" s="2030" t="s">
        <v>60</v>
      </c>
      <c r="B31" s="2031"/>
      <c r="C31" s="2031"/>
      <c r="D31" s="2031"/>
      <c r="E31" s="2032"/>
      <c r="F31" s="2032"/>
      <c r="G31" s="2033"/>
      <c r="I31" s="643" t="s">
        <v>57</v>
      </c>
      <c r="J31" s="651">
        <f t="shared" si="6"/>
        <v>40466</v>
      </c>
      <c r="K31" s="652">
        <f t="shared" si="6"/>
        <v>47973</v>
      </c>
      <c r="L31" s="160">
        <f t="shared" si="7"/>
        <v>-0.15648385550205324</v>
      </c>
      <c r="M31" s="652">
        <f t="shared" si="8"/>
        <v>260157</v>
      </c>
      <c r="N31" s="648">
        <f t="shared" si="8"/>
        <v>324178</v>
      </c>
      <c r="O31" s="160">
        <f t="shared" si="9"/>
        <v>-0.19748718296738213</v>
      </c>
    </row>
    <row r="32" spans="1:15" ht="11.25">
      <c r="A32" s="2008" t="s">
        <v>52</v>
      </c>
      <c r="B32" s="2009"/>
      <c r="C32" s="2009"/>
      <c r="D32" s="2009"/>
      <c r="E32" s="2009"/>
      <c r="F32" s="2009"/>
      <c r="G32" s="2010"/>
      <c r="I32" s="546" t="s">
        <v>90</v>
      </c>
      <c r="J32" s="937">
        <f>+J10+J22</f>
        <v>220451</v>
      </c>
      <c r="K32" s="938">
        <f>+K10+K22</f>
        <v>247599</v>
      </c>
      <c r="L32" s="99">
        <f t="shared" si="7"/>
        <v>-0.10964503087653828</v>
      </c>
      <c r="M32" s="644">
        <f>SUM(M29:M31)</f>
        <v>1624161</v>
      </c>
      <c r="N32" s="101">
        <f>SUM(N29:N31)</f>
        <v>1714862</v>
      </c>
      <c r="O32" s="99">
        <f t="shared" si="9"/>
        <v>-0.0528911364296369</v>
      </c>
    </row>
    <row r="33" spans="1:15" ht="12" thickBot="1">
      <c r="A33" s="2000" t="s">
        <v>53</v>
      </c>
      <c r="B33" s="2001"/>
      <c r="C33" s="2001"/>
      <c r="D33" s="2001"/>
      <c r="E33" s="2001"/>
      <c r="F33" s="2001"/>
      <c r="G33" s="2002"/>
      <c r="I33" s="643" t="s">
        <v>88</v>
      </c>
      <c r="J33" s="651">
        <f>+J11+J23</f>
        <v>74115</v>
      </c>
      <c r="K33" s="648">
        <f>+K11+K23</f>
        <v>78585</v>
      </c>
      <c r="L33" s="160">
        <f t="shared" si="7"/>
        <v>-0.056881084176369535</v>
      </c>
      <c r="M33" s="653">
        <f>+M11+M23</f>
        <v>495442</v>
      </c>
      <c r="N33" s="653">
        <f>+N11+N23</f>
        <v>502836</v>
      </c>
      <c r="O33" s="160">
        <f t="shared" si="9"/>
        <v>-0.014704595534130413</v>
      </c>
    </row>
    <row r="34" spans="1:15" ht="12" thickBot="1">
      <c r="A34" s="683"/>
      <c r="B34" s="2003" t="s">
        <v>19</v>
      </c>
      <c r="C34" s="2004"/>
      <c r="D34" s="2005"/>
      <c r="E34" s="2006" t="s">
        <v>230</v>
      </c>
      <c r="F34" s="2004"/>
      <c r="G34" s="2005"/>
      <c r="I34" s="548" t="s">
        <v>58</v>
      </c>
      <c r="J34" s="314">
        <f>SUM(J32:J33)</f>
        <v>294566</v>
      </c>
      <c r="K34" s="102">
        <f>SUM(K32:K33)</f>
        <v>326184</v>
      </c>
      <c r="L34" s="100">
        <f t="shared" si="7"/>
        <v>-0.0969330194000932</v>
      </c>
      <c r="M34" s="382">
        <f>SUM(M32:M33)</f>
        <v>2119603</v>
      </c>
      <c r="N34" s="102">
        <f>SUM(N32:N33)</f>
        <v>2217698</v>
      </c>
      <c r="O34" s="100">
        <f t="shared" si="9"/>
        <v>-0.04423280356477753</v>
      </c>
    </row>
    <row r="35" spans="1:15" ht="12" thickBot="1">
      <c r="A35" s="656"/>
      <c r="B35" s="626">
        <v>2008</v>
      </c>
      <c r="C35" s="627">
        <v>2007</v>
      </c>
      <c r="D35" s="628" t="s">
        <v>44</v>
      </c>
      <c r="E35" s="623">
        <v>2008</v>
      </c>
      <c r="F35" s="624">
        <v>2007</v>
      </c>
      <c r="G35" s="625" t="s">
        <v>44</v>
      </c>
      <c r="H35" s="654"/>
      <c r="I35" s="1875" t="s">
        <v>144</v>
      </c>
      <c r="J35" s="1996"/>
      <c r="K35" s="1996"/>
      <c r="L35" s="1996"/>
      <c r="M35" s="1877"/>
      <c r="N35" s="1877"/>
      <c r="O35" s="1878"/>
    </row>
    <row r="36" spans="1:15" ht="11.25">
      <c r="A36" s="636" t="s">
        <v>54</v>
      </c>
      <c r="B36" s="1782">
        <v>74471</v>
      </c>
      <c r="C36" s="1543">
        <v>78898</v>
      </c>
      <c r="D36" s="629">
        <f>SUM(B36-C36)/C36</f>
        <v>-0.05611042104996324</v>
      </c>
      <c r="E36" s="613">
        <f>SUM(OAKLAND!C3:C9)</f>
        <v>470279</v>
      </c>
      <c r="F36" s="613">
        <f>SUM(OAKLAND!D3:D9)</f>
        <v>496592</v>
      </c>
      <c r="G36" s="612">
        <f>SUM(E36-F36)/F36</f>
        <v>-0.0529871604858717</v>
      </c>
      <c r="I36" s="1997" t="s">
        <v>52</v>
      </c>
      <c r="J36" s="1998"/>
      <c r="K36" s="1998"/>
      <c r="L36" s="1998"/>
      <c r="M36" s="1998"/>
      <c r="N36" s="1998"/>
      <c r="O36" s="1999"/>
    </row>
    <row r="37" spans="1:15" ht="12" thickBot="1">
      <c r="A37" s="643" t="s">
        <v>55</v>
      </c>
      <c r="B37" s="1317">
        <v>79902</v>
      </c>
      <c r="C37" s="648">
        <v>78641</v>
      </c>
      <c r="D37" s="160">
        <f>SUM(B37-C37)/C37</f>
        <v>0.01603489274042802</v>
      </c>
      <c r="E37" s="531">
        <f>SUM(OAKLAND!N3:N9)</f>
        <v>559767</v>
      </c>
      <c r="F37" s="531">
        <f>SUM(OAKLAND!O3:O9)</f>
        <v>514553</v>
      </c>
      <c r="G37" s="160">
        <f>SUM(E37-F37)/F37</f>
        <v>0.08787044288926506</v>
      </c>
      <c r="I37" s="2000" t="s">
        <v>53</v>
      </c>
      <c r="J37" s="2001"/>
      <c r="K37" s="2001"/>
      <c r="L37" s="2001"/>
      <c r="M37" s="2001"/>
      <c r="N37" s="2001"/>
      <c r="O37" s="2002"/>
    </row>
    <row r="38" spans="1:15" ht="12" thickBot="1">
      <c r="A38" s="546" t="s">
        <v>56</v>
      </c>
      <c r="B38" s="315">
        <f>SUM(B36:B37)</f>
        <v>154373</v>
      </c>
      <c r="C38" s="644">
        <f>SUM(C36:C37)</f>
        <v>157539</v>
      </c>
      <c r="D38" s="99">
        <f>SUM(B38-C38)/C38</f>
        <v>-0.02009661099791163</v>
      </c>
      <c r="E38" s="532">
        <f>SUM(E36:E37)</f>
        <v>1030046</v>
      </c>
      <c r="F38" s="532">
        <f>SUM(F36:F37)</f>
        <v>1011145</v>
      </c>
      <c r="G38" s="99">
        <f>SUM(E38-F38)/F38</f>
        <v>0.018692670190724375</v>
      </c>
      <c r="I38" s="655"/>
      <c r="J38" s="2003" t="s">
        <v>19</v>
      </c>
      <c r="K38" s="2004"/>
      <c r="L38" s="2005"/>
      <c r="M38" s="2006" t="s">
        <v>230</v>
      </c>
      <c r="N38" s="2004"/>
      <c r="O38" s="2005"/>
    </row>
    <row r="39" spans="1:15" ht="12" thickBot="1">
      <c r="A39" s="643" t="s">
        <v>57</v>
      </c>
      <c r="B39" s="651">
        <v>46888</v>
      </c>
      <c r="C39" s="648">
        <v>55260</v>
      </c>
      <c r="D39" s="160">
        <f>SUM(B39-C39)/C39</f>
        <v>-0.15150199058993846</v>
      </c>
      <c r="E39" s="531">
        <f>SUM(OAKLAND!AI3:AI9)</f>
        <v>289693</v>
      </c>
      <c r="F39" s="531">
        <f>SUM(OAKLAND!AJ3:AJ9)</f>
        <v>346028</v>
      </c>
      <c r="G39" s="160">
        <f>SUM(E39-F39)/F39</f>
        <v>-0.1628047441247529</v>
      </c>
      <c r="I39" s="656"/>
      <c r="J39" s="623">
        <v>2008</v>
      </c>
      <c r="K39" s="624">
        <v>2007</v>
      </c>
      <c r="L39" s="625" t="s">
        <v>44</v>
      </c>
      <c r="M39" s="623">
        <v>2008</v>
      </c>
      <c r="N39" s="624">
        <v>2007</v>
      </c>
      <c r="O39" s="625" t="s">
        <v>44</v>
      </c>
    </row>
    <row r="40" spans="1:15" ht="12" thickBot="1">
      <c r="A40" s="645" t="s">
        <v>58</v>
      </c>
      <c r="B40" s="314">
        <f>SUM(B38:B39)</f>
        <v>201261</v>
      </c>
      <c r="C40" s="102">
        <f>SUM(C38:C39)</f>
        <v>212799</v>
      </c>
      <c r="D40" s="100">
        <f>SUM(B40-C40)/C40</f>
        <v>-0.05422017960610717</v>
      </c>
      <c r="E40" s="533">
        <f>SUM(E38:E39)</f>
        <v>1319739</v>
      </c>
      <c r="F40" s="530">
        <f>SUM(F38:F39)</f>
        <v>1357173</v>
      </c>
      <c r="G40" s="657">
        <f>SUM(E40-F40)/F40</f>
        <v>-0.02758233475024923</v>
      </c>
      <c r="I40" s="643" t="s">
        <v>55</v>
      </c>
      <c r="J40" s="1807">
        <v>8384</v>
      </c>
      <c r="K40" s="1808">
        <v>13938</v>
      </c>
      <c r="L40" s="629">
        <f>SUM(J40-K40)/K40</f>
        <v>-0.39847897833261586</v>
      </c>
      <c r="M40" s="637">
        <f>SUM(PORTLAND!C4:C10)</f>
        <v>76779</v>
      </c>
      <c r="N40" s="637">
        <f>SUM(PORTLAND!D4:D10)</f>
        <v>85673</v>
      </c>
      <c r="O40" s="612">
        <f>SUM(M40-N40)/N40</f>
        <v>-0.10381333675720472</v>
      </c>
    </row>
    <row r="41" spans="1:15" ht="12" thickBot="1">
      <c r="A41" s="2022" t="s">
        <v>126</v>
      </c>
      <c r="B41" s="2023"/>
      <c r="C41" s="2023"/>
      <c r="D41" s="2023"/>
      <c r="E41" s="2024"/>
      <c r="F41" s="2024"/>
      <c r="G41" s="2025"/>
      <c r="I41" s="643" t="s">
        <v>54</v>
      </c>
      <c r="J41" s="1809">
        <v>7688</v>
      </c>
      <c r="K41" s="1810">
        <v>11555</v>
      </c>
      <c r="L41" s="160">
        <f>SUM(J41-K41)/K41</f>
        <v>-0.3346603202077023</v>
      </c>
      <c r="M41" s="381">
        <f>SUM(PORTLAND!S4:S10)</f>
        <v>63045</v>
      </c>
      <c r="N41" s="381">
        <f>SUM(PORTLAND!T4:T10)</f>
        <v>62683</v>
      </c>
      <c r="O41" s="160">
        <f>SUM(M41-N41)/N41</f>
        <v>0.005775090534913772</v>
      </c>
    </row>
    <row r="42" spans="1:15" ht="12" thickBot="1">
      <c r="A42" s="2016" t="s">
        <v>52</v>
      </c>
      <c r="B42" s="2017"/>
      <c r="C42" s="2017"/>
      <c r="D42" s="2017"/>
      <c r="E42" s="2017"/>
      <c r="F42" s="2017"/>
      <c r="G42" s="2018"/>
      <c r="I42" s="548" t="s">
        <v>58</v>
      </c>
      <c r="J42" s="314">
        <f>SUM(J40:J41)</f>
        <v>16072</v>
      </c>
      <c r="K42" s="102">
        <f>SUM(K40:K41)</f>
        <v>25493</v>
      </c>
      <c r="L42" s="100">
        <f>SUM(J42-K42)/K42</f>
        <v>-0.36955242615619976</v>
      </c>
      <c r="M42" s="382">
        <f>SUM(M40:M41)</f>
        <v>139824</v>
      </c>
      <c r="N42" s="382">
        <f>SUM(N40:N41)</f>
        <v>148356</v>
      </c>
      <c r="O42" s="100">
        <f>SUM(M42-N42)/N42</f>
        <v>-0.057510313030817765</v>
      </c>
    </row>
    <row r="43" spans="1:15" ht="12" thickBot="1">
      <c r="A43" s="2000" t="s">
        <v>53</v>
      </c>
      <c r="B43" s="2001"/>
      <c r="C43" s="2001"/>
      <c r="D43" s="2001"/>
      <c r="E43" s="2001"/>
      <c r="F43" s="2001"/>
      <c r="G43" s="2002"/>
      <c r="I43" s="1875" t="s">
        <v>198</v>
      </c>
      <c r="J43" s="1996"/>
      <c r="K43" s="1996"/>
      <c r="L43" s="1996"/>
      <c r="M43" s="1877"/>
      <c r="N43" s="1877"/>
      <c r="O43" s="1878"/>
    </row>
    <row r="44" spans="1:15" ht="12" thickBot="1">
      <c r="A44" s="683"/>
      <c r="B44" s="2003" t="s">
        <v>19</v>
      </c>
      <c r="C44" s="2004"/>
      <c r="D44" s="2005"/>
      <c r="E44" s="2006" t="s">
        <v>230</v>
      </c>
      <c r="F44" s="2004"/>
      <c r="G44" s="2005"/>
      <c r="I44" s="1997" t="s">
        <v>52</v>
      </c>
      <c r="J44" s="1998"/>
      <c r="K44" s="1998"/>
      <c r="L44" s="1998"/>
      <c r="M44" s="1998"/>
      <c r="N44" s="1998"/>
      <c r="O44" s="1999"/>
    </row>
    <row r="45" spans="1:15" ht="12" thickBot="1">
      <c r="A45" s="816"/>
      <c r="B45" s="626">
        <v>2008</v>
      </c>
      <c r="C45" s="627">
        <v>2007</v>
      </c>
      <c r="D45" s="628" t="s">
        <v>44</v>
      </c>
      <c r="E45" s="626">
        <v>2008</v>
      </c>
      <c r="F45" s="627">
        <v>2007</v>
      </c>
      <c r="G45" s="628" t="s">
        <v>44</v>
      </c>
      <c r="I45" s="2000" t="s">
        <v>53</v>
      </c>
      <c r="J45" s="2001"/>
      <c r="K45" s="2001"/>
      <c r="L45" s="2001"/>
      <c r="M45" s="2001"/>
      <c r="N45" s="2001"/>
      <c r="O45" s="2002"/>
    </row>
    <row r="46" spans="1:15" ht="12" thickBot="1">
      <c r="A46" s="683" t="s">
        <v>54</v>
      </c>
      <c r="B46" s="1782">
        <v>3410</v>
      </c>
      <c r="C46" s="1648">
        <v>4454</v>
      </c>
      <c r="D46" s="629">
        <f>SUM(B46-C46)/C46</f>
        <v>-0.23439604849573417</v>
      </c>
      <c r="E46" s="1783">
        <f>SUM('SAN DIEGO'!C4:C10)</f>
        <v>26840</v>
      </c>
      <c r="F46" s="1415">
        <f>SUM('SAN DIEGO'!D4:D10)</f>
        <v>28612</v>
      </c>
      <c r="G46" s="629">
        <f>SUM(E46-F46)/F46</f>
        <v>-0.061932056479798686</v>
      </c>
      <c r="I46" s="655"/>
      <c r="J46" s="2003" t="s">
        <v>19</v>
      </c>
      <c r="K46" s="2004"/>
      <c r="L46" s="2005"/>
      <c r="M46" s="2006" t="s">
        <v>230</v>
      </c>
      <c r="N46" s="2004"/>
      <c r="O46" s="2005"/>
    </row>
    <row r="47" spans="1:15" ht="12" thickBot="1">
      <c r="A47" s="643" t="s">
        <v>55</v>
      </c>
      <c r="B47" s="1317">
        <v>164</v>
      </c>
      <c r="C47" s="1414">
        <v>188</v>
      </c>
      <c r="D47" s="160">
        <f>SUM(B47-C47)/C47</f>
        <v>-0.1276595744680851</v>
      </c>
      <c r="E47" s="531">
        <f>SUM('SAN DIEGO'!K4:K10)</f>
        <v>832</v>
      </c>
      <c r="F47" s="631">
        <f>SUM('SAN DIEGO'!L4:L10)</f>
        <v>790</v>
      </c>
      <c r="G47" s="160">
        <f>SUM(E47-F47)/F47</f>
        <v>0.053164556962025315</v>
      </c>
      <c r="I47" s="656"/>
      <c r="J47" s="626">
        <v>2008</v>
      </c>
      <c r="K47" s="627">
        <v>2007</v>
      </c>
      <c r="L47" s="628" t="s">
        <v>44</v>
      </c>
      <c r="M47" s="623">
        <v>2008</v>
      </c>
      <c r="N47" s="624">
        <v>2007</v>
      </c>
      <c r="O47" s="625" t="s">
        <v>44</v>
      </c>
    </row>
    <row r="48" spans="1:15" ht="11.25">
      <c r="A48" s="546" t="s">
        <v>56</v>
      </c>
      <c r="B48" s="1403">
        <f>SUM(B46:B47)</f>
        <v>3574</v>
      </c>
      <c r="C48" s="1404">
        <f>SUM(C46:C47)</f>
        <v>4642</v>
      </c>
      <c r="D48" s="99">
        <f>SUM(B48-C48)/C48</f>
        <v>-0.23007324429125378</v>
      </c>
      <c r="E48" s="532">
        <f>SUM(E46:E47)</f>
        <v>27672</v>
      </c>
      <c r="F48" s="513">
        <f>SUM(F46:F47)</f>
        <v>29402</v>
      </c>
      <c r="G48" s="99">
        <f>SUM(E48-F48)/F48</f>
        <v>-0.05883953472552888</v>
      </c>
      <c r="I48" s="638" t="s">
        <v>87</v>
      </c>
      <c r="J48" s="1547"/>
      <c r="K48" s="1548"/>
      <c r="L48" s="1549"/>
      <c r="M48" s="660"/>
      <c r="N48" s="658"/>
      <c r="O48" s="659"/>
    </row>
    <row r="49" spans="1:15" ht="11.25">
      <c r="A49" s="643" t="s">
        <v>57</v>
      </c>
      <c r="B49" s="1317">
        <v>3326</v>
      </c>
      <c r="C49" s="184">
        <v>4248</v>
      </c>
      <c r="D49" s="160">
        <f>SUM(B49-C49)/C49</f>
        <v>-0.2170433145009416</v>
      </c>
      <c r="E49" s="531">
        <f>SUM('SAN DIEGO'!Z4:Z10)</f>
        <v>24748</v>
      </c>
      <c r="F49" s="631">
        <f>SUM('SAN DIEGO'!AA4:AA10)</f>
        <v>27651</v>
      </c>
      <c r="G49" s="160">
        <f>SUM(E49-F49)/F49</f>
        <v>-0.10498716140465082</v>
      </c>
      <c r="I49" s="643" t="s">
        <v>54</v>
      </c>
      <c r="J49" s="1317">
        <v>118099</v>
      </c>
      <c r="K49" s="1316">
        <v>114946</v>
      </c>
      <c r="L49" s="160">
        <f>SUM(J49-K49)/K49</f>
        <v>0.027430271605797505</v>
      </c>
      <c r="M49" s="531">
        <f>SUM('VANCOUVER FRASER'!C3:C9)</f>
        <v>726120</v>
      </c>
      <c r="N49" s="531">
        <f>SUM('VANCOUVER FRASER'!D3:D9)</f>
        <v>708192</v>
      </c>
      <c r="O49" s="160">
        <f>SUM(M49-N49)/N49</f>
        <v>0.025315168767791784</v>
      </c>
    </row>
    <row r="50" spans="1:15" ht="12" thickBot="1">
      <c r="A50" s="548" t="s">
        <v>58</v>
      </c>
      <c r="B50" s="1784">
        <f>SUM(B48:B49)</f>
        <v>6900</v>
      </c>
      <c r="C50" s="335">
        <f>SUM(C48:C49)</f>
        <v>8890</v>
      </c>
      <c r="D50" s="100">
        <f>SUM(B50-C50)/C50</f>
        <v>-0.22384701912260968</v>
      </c>
      <c r="E50" s="1428">
        <f>SUM(E48:E49)</f>
        <v>52420</v>
      </c>
      <c r="F50" s="608">
        <f>SUM(F48:F49)</f>
        <v>57053</v>
      </c>
      <c r="G50" s="100">
        <f>SUM(E50-F50)/F50</f>
        <v>-0.08120519516940389</v>
      </c>
      <c r="I50" s="643" t="s">
        <v>55</v>
      </c>
      <c r="J50" s="1317">
        <v>78917</v>
      </c>
      <c r="K50" s="1316">
        <v>78869</v>
      </c>
      <c r="L50" s="160">
        <f>SUM(J50-K50)/K50</f>
        <v>0.0006086041410440097</v>
      </c>
      <c r="M50" s="531">
        <f>SUM('VANCOUVER FRASER'!F3:F9)</f>
        <v>572400</v>
      </c>
      <c r="N50" s="531">
        <f>SUM('VANCOUVER FRASER'!G3:G9)</f>
        <v>524151</v>
      </c>
      <c r="O50" s="160">
        <f>SUM(M50-N50)/N50</f>
        <v>0.09205171792098078</v>
      </c>
    </row>
    <row r="51" spans="1:15" ht="12" thickBot="1">
      <c r="A51" s="2020" t="s">
        <v>61</v>
      </c>
      <c r="B51" s="2015"/>
      <c r="C51" s="2015"/>
      <c r="D51" s="2015"/>
      <c r="E51" s="2015"/>
      <c r="F51" s="2015"/>
      <c r="G51" s="2021"/>
      <c r="I51" s="546" t="s">
        <v>56</v>
      </c>
      <c r="J51" s="1403">
        <f>SUM(J49:J50)</f>
        <v>197016</v>
      </c>
      <c r="K51" s="1404">
        <f>SUM(K49:K50)</f>
        <v>193815</v>
      </c>
      <c r="L51" s="99">
        <f>SUM(J51-K51)/K51</f>
        <v>0.016515749554988003</v>
      </c>
      <c r="M51" s="532">
        <f>SUM(M49:M50)</f>
        <v>1298520</v>
      </c>
      <c r="N51" s="532">
        <f>SUM(N49:N50)</f>
        <v>1232343</v>
      </c>
      <c r="O51" s="99">
        <f>SUM(M51-N51)/N51</f>
        <v>0.05370014679354693</v>
      </c>
    </row>
    <row r="52" spans="1:15" ht="11.25">
      <c r="A52" s="2008" t="s">
        <v>52</v>
      </c>
      <c r="B52" s="2009"/>
      <c r="C52" s="2009"/>
      <c r="D52" s="2009"/>
      <c r="E52" s="2009"/>
      <c r="F52" s="2009"/>
      <c r="G52" s="2010"/>
      <c r="I52" s="643" t="s">
        <v>57</v>
      </c>
      <c r="J52" s="1317">
        <v>28411</v>
      </c>
      <c r="K52" s="1316">
        <v>25986</v>
      </c>
      <c r="L52" s="160">
        <f>SUM(J52-K52)/K52</f>
        <v>0.09331947971984915</v>
      </c>
      <c r="M52" s="531">
        <f>SUM('VANCOUVER FRASER'!L3:L9)</f>
        <v>150296</v>
      </c>
      <c r="N52" s="531">
        <f>SUM('VANCOUVER FRASER'!M3:M9)</f>
        <v>160573</v>
      </c>
      <c r="O52" s="160">
        <f>SUM(M52-N52)/N52</f>
        <v>-0.06400204268463565</v>
      </c>
    </row>
    <row r="53" spans="1:15" ht="12" thickBot="1">
      <c r="A53" s="2000" t="s">
        <v>53</v>
      </c>
      <c r="B53" s="2001"/>
      <c r="C53" s="2001"/>
      <c r="D53" s="2001"/>
      <c r="E53" s="2001"/>
      <c r="F53" s="2001"/>
      <c r="G53" s="2002"/>
      <c r="I53" s="548" t="s">
        <v>58</v>
      </c>
      <c r="J53" s="314">
        <f>SUM(J51:J52)</f>
        <v>225427</v>
      </c>
      <c r="K53" s="102">
        <f>SUM(K51:K52)</f>
        <v>219801</v>
      </c>
      <c r="L53" s="100">
        <f>SUM(J53-K53)/K53</f>
        <v>0.02559587990955455</v>
      </c>
      <c r="M53" s="1428">
        <f>SUM(M51:M52)</f>
        <v>1448816</v>
      </c>
      <c r="N53" s="608">
        <f>SUM(N51:N52)</f>
        <v>1392916</v>
      </c>
      <c r="O53" s="100">
        <f>SUM(M53-N53)/N53</f>
        <v>0.04013163751439426</v>
      </c>
    </row>
    <row r="54" spans="1:15" ht="12" thickBot="1">
      <c r="A54" s="655"/>
      <c r="B54" s="2003" t="s">
        <v>19</v>
      </c>
      <c r="C54" s="2004"/>
      <c r="D54" s="2005"/>
      <c r="E54" s="2006" t="s">
        <v>230</v>
      </c>
      <c r="F54" s="2004"/>
      <c r="G54" s="2005"/>
      <c r="I54" s="1875" t="s">
        <v>164</v>
      </c>
      <c r="J54" s="1996"/>
      <c r="K54" s="1996"/>
      <c r="L54" s="1996"/>
      <c r="M54" s="1877"/>
      <c r="N54" s="1877"/>
      <c r="O54" s="1878"/>
    </row>
    <row r="55" spans="1:15" ht="12" thickBot="1">
      <c r="A55" s="548"/>
      <c r="B55" s="623">
        <v>2008</v>
      </c>
      <c r="C55" s="624">
        <v>2007</v>
      </c>
      <c r="D55" s="625" t="s">
        <v>44</v>
      </c>
      <c r="E55" s="623">
        <v>2008</v>
      </c>
      <c r="F55" s="624">
        <v>2007</v>
      </c>
      <c r="G55" s="625" t="s">
        <v>44</v>
      </c>
      <c r="I55" s="1997" t="s">
        <v>169</v>
      </c>
      <c r="J55" s="1998"/>
      <c r="K55" s="1998"/>
      <c r="L55" s="1998"/>
      <c r="M55" s="1998"/>
      <c r="N55" s="1998"/>
      <c r="O55" s="1999"/>
    </row>
    <row r="56" spans="1:15" ht="12" thickBot="1">
      <c r="A56" s="636" t="s">
        <v>54</v>
      </c>
      <c r="B56" s="316">
        <f>+B26+B36+B46</f>
        <v>717727.5</v>
      </c>
      <c r="C56" s="316">
        <f>+C26+C36+C46</f>
        <v>798001.05</v>
      </c>
      <c r="D56" s="612">
        <f>SUM(B56-C56)/C56</f>
        <v>-0.10059328869304125</v>
      </c>
      <c r="E56" s="630">
        <f>+E26+E36+E46</f>
        <v>4722802.85</v>
      </c>
      <c r="F56" s="661">
        <f>+F26+F36+F46</f>
        <v>5189371.05</v>
      </c>
      <c r="G56" s="612">
        <f>SUM(E56-F56)/F56</f>
        <v>-0.08990842926909229</v>
      </c>
      <c r="I56" s="2000" t="s">
        <v>53</v>
      </c>
      <c r="J56" s="2001"/>
      <c r="K56" s="2001"/>
      <c r="L56" s="2001"/>
      <c r="M56" s="2001"/>
      <c r="N56" s="2001"/>
      <c r="O56" s="2002"/>
    </row>
    <row r="57" spans="1:15" ht="12" thickBot="1">
      <c r="A57" s="643" t="s">
        <v>55</v>
      </c>
      <c r="B57" s="316">
        <f>+B27+B37+B47</f>
        <v>407080.5</v>
      </c>
      <c r="C57" s="316">
        <f>+C27+C37+C47</f>
        <v>343509.75</v>
      </c>
      <c r="D57" s="160">
        <f>SUM(B57-C57)/C57</f>
        <v>0.18506243272570866</v>
      </c>
      <c r="E57" s="631">
        <f>+E27+E37+E47</f>
        <v>2720850.85</v>
      </c>
      <c r="F57" s="184">
        <f>+F27+F37+F47</f>
        <v>2276020.5</v>
      </c>
      <c r="G57" s="160">
        <f>SUM(E57-F57)/F57</f>
        <v>0.1954421544094177</v>
      </c>
      <c r="I57" s="655"/>
      <c r="J57" s="2003" t="s">
        <v>19</v>
      </c>
      <c r="K57" s="2004"/>
      <c r="L57" s="2005"/>
      <c r="M57" s="2006" t="s">
        <v>230</v>
      </c>
      <c r="N57" s="2004"/>
      <c r="O57" s="2005"/>
    </row>
    <row r="58" spans="1:15" ht="12" thickBot="1">
      <c r="A58" s="546" t="s">
        <v>56</v>
      </c>
      <c r="B58" s="315">
        <f>+B28+B38</f>
        <v>1121234</v>
      </c>
      <c r="C58" s="101">
        <f>+C28+C38</f>
        <v>1136868.8</v>
      </c>
      <c r="D58" s="99">
        <f>SUM(B58-C58)/C58</f>
        <v>-0.013752510404014998</v>
      </c>
      <c r="E58" s="513">
        <f>+E28+E38</f>
        <v>7415981.699999999</v>
      </c>
      <c r="F58" s="514">
        <f>+F28+F38</f>
        <v>7435989.55</v>
      </c>
      <c r="G58" s="99">
        <f>SUM(E58-F58)/F58</f>
        <v>-0.0026906775306052653</v>
      </c>
      <c r="I58" s="816"/>
      <c r="J58" s="623">
        <v>2008</v>
      </c>
      <c r="K58" s="624">
        <v>2007</v>
      </c>
      <c r="L58" s="625" t="s">
        <v>44</v>
      </c>
      <c r="M58" s="623">
        <v>2008</v>
      </c>
      <c r="N58" s="624">
        <v>2007</v>
      </c>
      <c r="O58" s="625" t="s">
        <v>44</v>
      </c>
    </row>
    <row r="59" spans="1:15" ht="11.25">
      <c r="A59" s="643" t="s">
        <v>57</v>
      </c>
      <c r="B59" s="316">
        <f>+B29+B39+B49</f>
        <v>345215.3</v>
      </c>
      <c r="C59" s="158">
        <f>+C29+C39+C49</f>
        <v>443925.6</v>
      </c>
      <c r="D59" s="160">
        <f>SUM(B59-C59)/C59</f>
        <v>-0.22235775544370498</v>
      </c>
      <c r="E59" s="631">
        <f>+E29+E39+E49</f>
        <v>2179272.75</v>
      </c>
      <c r="F59" s="184">
        <f>+F29+F39+F49</f>
        <v>2882228.55</v>
      </c>
      <c r="G59" s="160">
        <f>SUM(E59-F59)/F59</f>
        <v>-0.24389314997244055</v>
      </c>
      <c r="I59" s="817" t="s">
        <v>165</v>
      </c>
      <c r="J59" s="823">
        <f>+J34+J42+J53</f>
        <v>536065</v>
      </c>
      <c r="K59" s="813">
        <f>+K34+K42+K53</f>
        <v>571478</v>
      </c>
      <c r="L59" s="814">
        <f>SUM(J59-K59)/K59</f>
        <v>-0.061967389820780504</v>
      </c>
      <c r="M59" s="820">
        <f>+M34+M42+M53</f>
        <v>3708243</v>
      </c>
      <c r="N59" s="813">
        <f>+N34+N42+N53</f>
        <v>3758970</v>
      </c>
      <c r="O59" s="814">
        <f>SUM(M59-N59)/N59</f>
        <v>-0.013494920150998811</v>
      </c>
    </row>
    <row r="60" spans="1:15" ht="12" thickBot="1">
      <c r="A60" s="548" t="s">
        <v>58</v>
      </c>
      <c r="B60" s="314">
        <f>+B30+B40</f>
        <v>1463123.3</v>
      </c>
      <c r="C60" s="102">
        <f>+C30+C40</f>
        <v>1576546.4</v>
      </c>
      <c r="D60" s="100">
        <f>SUM(B60-C60)/C60</f>
        <v>-0.0719440290498268</v>
      </c>
      <c r="E60" s="607">
        <f>+E30+E40</f>
        <v>9570506.45</v>
      </c>
      <c r="F60" s="608">
        <f>+F30+F40</f>
        <v>10290567.1</v>
      </c>
      <c r="G60" s="100">
        <f>SUM(E60-F60)/F60</f>
        <v>-0.06997288322428803</v>
      </c>
      <c r="I60" s="818" t="s">
        <v>166</v>
      </c>
      <c r="J60" s="824">
        <f>SUM(B60)</f>
        <v>1463123.3</v>
      </c>
      <c r="K60" s="716">
        <f>SUM(C60)</f>
        <v>1576546.4</v>
      </c>
      <c r="L60" s="99">
        <f>SUM(J60-K60)/K60</f>
        <v>-0.0719440290498268</v>
      </c>
      <c r="M60" s="716">
        <f>+E30+E40</f>
        <v>9570506.45</v>
      </c>
      <c r="N60" s="716">
        <f>+F30+F40</f>
        <v>10290567.1</v>
      </c>
      <c r="O60" s="99">
        <f>SUM(M60-N60)/N60</f>
        <v>-0.06997288322428803</v>
      </c>
    </row>
    <row r="61" spans="1:15" ht="11.25">
      <c r="A61" s="1997" t="s">
        <v>161</v>
      </c>
      <c r="B61" s="2007"/>
      <c r="C61" s="2007"/>
      <c r="D61" s="2007"/>
      <c r="E61" s="1998"/>
      <c r="F61" s="1998"/>
      <c r="G61" s="1999"/>
      <c r="I61" s="818" t="s">
        <v>167</v>
      </c>
      <c r="J61" s="824">
        <f>SUM(B100)</f>
        <v>186659</v>
      </c>
      <c r="K61" s="716">
        <f>SUM(C100)</f>
        <v>168830</v>
      </c>
      <c r="L61" s="99">
        <f>SUM(J61-K61)/K61</f>
        <v>0.10560326956109696</v>
      </c>
      <c r="M61" s="821">
        <f>SUM(E100)</f>
        <v>1143947</v>
      </c>
      <c r="N61" s="716">
        <f>SUM(F100)</f>
        <v>1023027</v>
      </c>
      <c r="O61" s="99">
        <f>SUM(M61-N61)/N61</f>
        <v>0.11819824892207147</v>
      </c>
    </row>
    <row r="62" spans="1:15" ht="12" thickBot="1">
      <c r="A62" s="2008" t="s">
        <v>52</v>
      </c>
      <c r="B62" s="2009"/>
      <c r="C62" s="2009"/>
      <c r="D62" s="2009"/>
      <c r="E62" s="2009"/>
      <c r="F62" s="2009"/>
      <c r="G62" s="2010"/>
      <c r="I62" s="819" t="s">
        <v>168</v>
      </c>
      <c r="J62" s="825">
        <f>SUM(J59:J61)</f>
        <v>2185847.3</v>
      </c>
      <c r="K62" s="815">
        <f>SUM(K59:K61)</f>
        <v>2316854.4</v>
      </c>
      <c r="L62" s="100">
        <f>SUM(J62-K62)/K62</f>
        <v>-0.05654524513927164</v>
      </c>
      <c r="M62" s="822">
        <f>SUM(M59:M61)</f>
        <v>14422696.45</v>
      </c>
      <c r="N62" s="815">
        <f>SUM(N59:N61)</f>
        <v>15072564.1</v>
      </c>
      <c r="O62" s="100">
        <f>SUM(M62-N62)/N62</f>
        <v>-0.04311593207953253</v>
      </c>
    </row>
    <row r="63" spans="1:15" ht="12" thickBot="1">
      <c r="A63" s="2000" t="s">
        <v>53</v>
      </c>
      <c r="B63" s="2001"/>
      <c r="C63" s="2001"/>
      <c r="D63" s="2001"/>
      <c r="E63" s="2001"/>
      <c r="F63" s="2001"/>
      <c r="G63" s="2002"/>
      <c r="I63" s="543"/>
      <c r="J63" s="165"/>
      <c r="K63" s="165"/>
      <c r="L63" s="165"/>
      <c r="M63" s="165"/>
      <c r="N63" s="165"/>
      <c r="O63" s="165"/>
    </row>
    <row r="64" spans="1:15" ht="12" thickBot="1">
      <c r="A64" s="655"/>
      <c r="B64" s="2003" t="s">
        <v>19</v>
      </c>
      <c r="C64" s="2004"/>
      <c r="D64" s="2005"/>
      <c r="E64" s="2006" t="s">
        <v>230</v>
      </c>
      <c r="F64" s="2004"/>
      <c r="G64" s="2005"/>
      <c r="I64" s="543"/>
      <c r="J64" s="165"/>
      <c r="K64" s="165"/>
      <c r="L64" s="165"/>
      <c r="M64" s="165"/>
      <c r="N64" s="165"/>
      <c r="O64" s="165"/>
    </row>
    <row r="65" spans="1:15" ht="12" thickBot="1">
      <c r="A65" s="656"/>
      <c r="B65" s="623">
        <v>2008</v>
      </c>
      <c r="C65" s="624">
        <v>2007</v>
      </c>
      <c r="D65" s="625" t="s">
        <v>44</v>
      </c>
      <c r="E65" s="623">
        <v>2008</v>
      </c>
      <c r="F65" s="624">
        <v>2007</v>
      </c>
      <c r="G65" s="625" t="s">
        <v>44</v>
      </c>
      <c r="I65" s="543"/>
      <c r="J65" s="165"/>
      <c r="K65" s="165"/>
      <c r="L65" s="165"/>
      <c r="M65" s="165"/>
      <c r="N65" s="165"/>
      <c r="O65" s="165"/>
    </row>
    <row r="66" spans="1:15" ht="11.25">
      <c r="A66" s="636" t="s">
        <v>54</v>
      </c>
      <c r="B66" s="1110">
        <v>2877</v>
      </c>
      <c r="C66" s="1111">
        <v>3270</v>
      </c>
      <c r="D66" s="629">
        <f>SUM(B66-C66)/C66</f>
        <v>-0.12018348623853212</v>
      </c>
      <c r="E66" s="936">
        <f>SUM(ENSENADA!C4:C10)</f>
        <v>19090</v>
      </c>
      <c r="F66" s="936">
        <f>SUM(ENSENADA!D4:D10)</f>
        <v>21906</v>
      </c>
      <c r="G66" s="629">
        <f>SUM(E66-F66)/F66</f>
        <v>-0.1285492559116224</v>
      </c>
      <c r="I66" s="543"/>
      <c r="J66" s="165"/>
      <c r="K66" s="165"/>
      <c r="L66" s="165"/>
      <c r="M66" s="165"/>
      <c r="N66" s="165"/>
      <c r="O66" s="165"/>
    </row>
    <row r="67" spans="1:15" ht="11.25">
      <c r="A67" s="643" t="s">
        <v>55</v>
      </c>
      <c r="B67" s="316">
        <v>5180</v>
      </c>
      <c r="C67" s="158">
        <v>3804</v>
      </c>
      <c r="D67" s="160">
        <f>SUM(B67-C67)/C67</f>
        <v>0.3617245005257624</v>
      </c>
      <c r="E67" s="381">
        <f>SUM(ENSENADA!H4:H10)</f>
        <v>34417</v>
      </c>
      <c r="F67" s="381">
        <f>SUM(ENSENADA!I4:I10)</f>
        <v>24197</v>
      </c>
      <c r="G67" s="160">
        <f>SUM(E67-F67)/F67</f>
        <v>0.42236640905897427</v>
      </c>
      <c r="I67" s="543"/>
      <c r="J67" s="165"/>
      <c r="K67" s="165"/>
      <c r="L67" s="165"/>
      <c r="M67" s="165"/>
      <c r="N67" s="165"/>
      <c r="O67" s="165"/>
    </row>
    <row r="68" spans="1:15" ht="11.25">
      <c r="A68" s="546" t="s">
        <v>56</v>
      </c>
      <c r="B68" s="315">
        <f>SUM(B66:B67)</f>
        <v>8057</v>
      </c>
      <c r="C68" s="644">
        <f>SUM(C66:C67)</f>
        <v>7074</v>
      </c>
      <c r="D68" s="99">
        <f>SUM(B68-C68)/C68</f>
        <v>0.13895957025728017</v>
      </c>
      <c r="E68" s="644">
        <f>SUM(E66:E67)</f>
        <v>53507</v>
      </c>
      <c r="F68" s="644">
        <f>SUM(F66:F67)</f>
        <v>46103</v>
      </c>
      <c r="G68" s="99">
        <f>SUM(E68-F68)/F68</f>
        <v>0.16059692427824654</v>
      </c>
      <c r="I68" s="543"/>
      <c r="J68" s="165"/>
      <c r="K68" s="165"/>
      <c r="L68" s="165"/>
      <c r="M68" s="165"/>
      <c r="N68" s="165"/>
      <c r="O68" s="165"/>
    </row>
    <row r="69" spans="1:15" ht="11.25">
      <c r="A69" s="643" t="s">
        <v>57</v>
      </c>
      <c r="B69" s="316">
        <v>2477</v>
      </c>
      <c r="C69" s="158">
        <v>2671</v>
      </c>
      <c r="D69" s="160">
        <f>SUM(B69-C69)/C69</f>
        <v>-0.07263197304380382</v>
      </c>
      <c r="E69" s="381">
        <f>SUM(ENSENADA!W4:W10)</f>
        <v>18648</v>
      </c>
      <c r="F69" s="381">
        <f>SUM(ENSENADA!X4:X10)</f>
        <v>17730</v>
      </c>
      <c r="G69" s="160">
        <f>SUM(E69-F69)/F69</f>
        <v>0.05177664974619289</v>
      </c>
      <c r="I69" s="543"/>
      <c r="J69" s="165"/>
      <c r="K69" s="165"/>
      <c r="L69" s="165"/>
      <c r="M69" s="165"/>
      <c r="N69" s="165"/>
      <c r="O69" s="165"/>
    </row>
    <row r="70" spans="1:15" ht="12" thickBot="1">
      <c r="A70" s="548" t="s">
        <v>58</v>
      </c>
      <c r="B70" s="314">
        <f>SUM(B68:B69)</f>
        <v>10534</v>
      </c>
      <c r="C70" s="102">
        <f>SUM(C68:C69)</f>
        <v>9745</v>
      </c>
      <c r="D70" s="100">
        <f>SUM(B70-C70)/C70</f>
        <v>0.08096459722934839</v>
      </c>
      <c r="E70" s="382">
        <f>SUM(E68:E69)</f>
        <v>72155</v>
      </c>
      <c r="F70" s="382">
        <f>SUM(F68:F69)</f>
        <v>63833</v>
      </c>
      <c r="G70" s="100">
        <f>SUM(E70-F70)/F70</f>
        <v>0.13037143797095546</v>
      </c>
      <c r="I70" s="543"/>
      <c r="J70" s="165"/>
      <c r="K70" s="165"/>
      <c r="L70" s="165"/>
      <c r="M70" s="165"/>
      <c r="N70" s="165"/>
      <c r="O70" s="165"/>
    </row>
    <row r="71" spans="1:15" ht="11.25">
      <c r="A71" s="1997" t="s">
        <v>162</v>
      </c>
      <c r="B71" s="2007"/>
      <c r="C71" s="2007"/>
      <c r="D71" s="2007"/>
      <c r="E71" s="1998"/>
      <c r="F71" s="1998"/>
      <c r="G71" s="1999"/>
      <c r="I71" s="543"/>
      <c r="J71" s="165"/>
      <c r="K71" s="165"/>
      <c r="L71" s="165"/>
      <c r="M71" s="165"/>
      <c r="N71" s="165"/>
      <c r="O71" s="165"/>
    </row>
    <row r="72" spans="1:15" ht="11.25">
      <c r="A72" s="2008" t="s">
        <v>52</v>
      </c>
      <c r="B72" s="2009"/>
      <c r="C72" s="2009"/>
      <c r="D72" s="2009"/>
      <c r="E72" s="2009"/>
      <c r="F72" s="2009"/>
      <c r="G72" s="2010"/>
      <c r="I72" s="543"/>
      <c r="J72" s="165"/>
      <c r="K72" s="165"/>
      <c r="L72" s="165"/>
      <c r="M72" s="165"/>
      <c r="N72" s="165"/>
      <c r="O72" s="165"/>
    </row>
    <row r="73" spans="1:15" ht="12" thickBot="1">
      <c r="A73" s="2000" t="s">
        <v>53</v>
      </c>
      <c r="B73" s="2001"/>
      <c r="C73" s="2001"/>
      <c r="D73" s="2001"/>
      <c r="E73" s="2001"/>
      <c r="F73" s="2001"/>
      <c r="G73" s="2002"/>
      <c r="I73" s="543"/>
      <c r="J73" s="165"/>
      <c r="K73" s="165"/>
      <c r="L73" s="165"/>
      <c r="M73" s="165"/>
      <c r="N73" s="165"/>
      <c r="O73" s="165"/>
    </row>
    <row r="74" spans="1:15" ht="12" thickBot="1">
      <c r="A74" s="655"/>
      <c r="B74" s="2003" t="s">
        <v>19</v>
      </c>
      <c r="C74" s="2004"/>
      <c r="D74" s="2005"/>
      <c r="E74" s="2006" t="s">
        <v>230</v>
      </c>
      <c r="F74" s="2004"/>
      <c r="G74" s="2005"/>
      <c r="I74" s="543"/>
      <c r="J74" s="165"/>
      <c r="K74" s="165"/>
      <c r="L74" s="165"/>
      <c r="M74" s="165"/>
      <c r="N74" s="165"/>
      <c r="O74" s="165"/>
    </row>
    <row r="75" spans="1:15" ht="12" thickBot="1">
      <c r="A75" s="656"/>
      <c r="B75" s="623">
        <v>2008</v>
      </c>
      <c r="C75" s="624">
        <v>2007</v>
      </c>
      <c r="D75" s="625" t="s">
        <v>44</v>
      </c>
      <c r="E75" s="623">
        <v>2008</v>
      </c>
      <c r="F75" s="624">
        <v>2007</v>
      </c>
      <c r="G75" s="625" t="s">
        <v>44</v>
      </c>
      <c r="I75" s="543"/>
      <c r="J75" s="165"/>
      <c r="K75" s="165"/>
      <c r="L75" s="165"/>
      <c r="M75" s="165"/>
      <c r="N75" s="165"/>
      <c r="O75" s="165"/>
    </row>
    <row r="76" spans="1:15" ht="11.25">
      <c r="A76" s="636" t="s">
        <v>54</v>
      </c>
      <c r="B76" s="1546">
        <v>17926</v>
      </c>
      <c r="C76" s="1111">
        <v>11359</v>
      </c>
      <c r="D76" s="629">
        <f>SUM(B76-C76)/C76</f>
        <v>0.578131877806145</v>
      </c>
      <c r="E76" s="936">
        <f>SUM('LAZARO CARDENAS'!C4:C10)</f>
        <v>89572</v>
      </c>
      <c r="F76" s="936">
        <f>SUM('LAZARO CARDENAS'!D4:D10)</f>
        <v>56317</v>
      </c>
      <c r="G76" s="629">
        <f>SUM(E76-F76)/F76</f>
        <v>0.5904966528756859</v>
      </c>
      <c r="I76" s="543"/>
      <c r="J76" s="165"/>
      <c r="K76" s="165"/>
      <c r="L76" s="165"/>
      <c r="M76" s="165"/>
      <c r="N76" s="165"/>
      <c r="O76" s="165"/>
    </row>
    <row r="77" spans="1:15" ht="11.25">
      <c r="A77" s="643" t="s">
        <v>55</v>
      </c>
      <c r="B77" s="1545">
        <v>9281</v>
      </c>
      <c r="C77" s="158">
        <v>4415</v>
      </c>
      <c r="D77" s="160">
        <f>SUM(B77-C77)/C77</f>
        <v>1.1021517553793885</v>
      </c>
      <c r="E77" s="381">
        <f>SUM('LAZARO CARDENAS'!H4:H10)</f>
        <v>43089</v>
      </c>
      <c r="F77" s="381">
        <f>SUM('LAZARO CARDENAS'!I4:I10)</f>
        <v>27627</v>
      </c>
      <c r="G77" s="160">
        <f>SUM(E77-F77)/F77</f>
        <v>0.5596698881528939</v>
      </c>
      <c r="I77" s="543"/>
      <c r="J77" s="165"/>
      <c r="K77" s="165"/>
      <c r="L77" s="165"/>
      <c r="M77" s="165"/>
      <c r="N77" s="165"/>
      <c r="O77" s="165"/>
    </row>
    <row r="78" spans="1:15" ht="11.25">
      <c r="A78" s="546" t="s">
        <v>56</v>
      </c>
      <c r="B78" s="315">
        <f>SUM(B76:B77)</f>
        <v>27207</v>
      </c>
      <c r="C78" s="101">
        <f>SUM(C76:C77)</f>
        <v>15774</v>
      </c>
      <c r="D78" s="99">
        <f>SUM(B78-C78)/C78</f>
        <v>0.7248003042982123</v>
      </c>
      <c r="E78" s="644">
        <f>SUM(E76:E77)</f>
        <v>132661</v>
      </c>
      <c r="F78" s="644">
        <f>SUM(F76:F77)</f>
        <v>83944</v>
      </c>
      <c r="G78" s="99">
        <f>SUM(E78-F78)/F78</f>
        <v>0.5803511865052893</v>
      </c>
      <c r="I78" s="543"/>
      <c r="J78" s="165"/>
      <c r="K78" s="165"/>
      <c r="L78" s="165"/>
      <c r="M78" s="165"/>
      <c r="N78" s="165"/>
      <c r="O78" s="165"/>
    </row>
    <row r="79" spans="1:15" ht="11.25">
      <c r="A79" s="643" t="s">
        <v>57</v>
      </c>
      <c r="B79" s="316">
        <v>10736</v>
      </c>
      <c r="C79" s="158">
        <v>6842</v>
      </c>
      <c r="D79" s="160">
        <f>SUM(B79-C79)/C79</f>
        <v>0.5691318327974276</v>
      </c>
      <c r="E79" s="381">
        <f>SUM('LAZARO CARDENAS'!W4:W10)</f>
        <v>64488</v>
      </c>
      <c r="F79" s="381">
        <f>SUM('LAZARO CARDENAS'!X4:X10)</f>
        <v>55310</v>
      </c>
      <c r="G79" s="160">
        <f>SUM(E79-F79)/F79</f>
        <v>0.1659374435002712</v>
      </c>
      <c r="I79" s="543"/>
      <c r="J79" s="165"/>
      <c r="K79" s="165"/>
      <c r="L79" s="165"/>
      <c r="M79" s="165"/>
      <c r="N79" s="165"/>
      <c r="O79" s="165"/>
    </row>
    <row r="80" spans="1:15" ht="12" thickBot="1">
      <c r="A80" s="548" t="s">
        <v>58</v>
      </c>
      <c r="B80" s="314">
        <f>SUM(B78:B79)</f>
        <v>37943</v>
      </c>
      <c r="C80" s="102">
        <f>SUM(C78:C79)</f>
        <v>22616</v>
      </c>
      <c r="D80" s="100">
        <f>SUM(B80-C80)/C80</f>
        <v>0.6777060488149982</v>
      </c>
      <c r="E80" s="382">
        <f>SUM(E78:E79)</f>
        <v>197149</v>
      </c>
      <c r="F80" s="382">
        <f>SUM(F78:F79)</f>
        <v>139254</v>
      </c>
      <c r="G80" s="100">
        <f>SUM(E80-F80)/F80</f>
        <v>0.41575107357777874</v>
      </c>
      <c r="I80" s="543"/>
      <c r="J80" s="165"/>
      <c r="K80" s="165"/>
      <c r="L80" s="165"/>
      <c r="M80" s="165"/>
      <c r="N80" s="165"/>
      <c r="O80" s="165"/>
    </row>
    <row r="81" spans="1:15" ht="11.25">
      <c r="A81" s="1997" t="s">
        <v>150</v>
      </c>
      <c r="B81" s="2007"/>
      <c r="C81" s="2007"/>
      <c r="D81" s="2007"/>
      <c r="E81" s="1998"/>
      <c r="F81" s="1998"/>
      <c r="G81" s="1999"/>
      <c r="I81" s="543"/>
      <c r="J81" s="165"/>
      <c r="K81" s="165"/>
      <c r="L81" s="165"/>
      <c r="M81" s="165"/>
      <c r="N81" s="165"/>
      <c r="O81" s="165"/>
    </row>
    <row r="82" spans="1:15" ht="11.25">
      <c r="A82" s="2008" t="s">
        <v>52</v>
      </c>
      <c r="B82" s="2009"/>
      <c r="C82" s="2009"/>
      <c r="D82" s="2009"/>
      <c r="E82" s="2009"/>
      <c r="F82" s="2009"/>
      <c r="G82" s="2010"/>
      <c r="I82" s="543"/>
      <c r="J82" s="165"/>
      <c r="K82" s="165"/>
      <c r="L82" s="165"/>
      <c r="M82" s="165"/>
      <c r="N82" s="165"/>
      <c r="O82" s="165"/>
    </row>
    <row r="83" spans="1:15" ht="12" thickBot="1">
      <c r="A83" s="2000" t="s">
        <v>53</v>
      </c>
      <c r="B83" s="2001"/>
      <c r="C83" s="2001"/>
      <c r="D83" s="2001"/>
      <c r="E83" s="2001"/>
      <c r="F83" s="2001"/>
      <c r="G83" s="2002"/>
      <c r="I83" s="543"/>
      <c r="J83" s="165"/>
      <c r="K83" s="165"/>
      <c r="L83" s="165"/>
      <c r="M83" s="165"/>
      <c r="N83" s="165"/>
      <c r="O83" s="165"/>
    </row>
    <row r="84" spans="1:15" ht="12" thickBot="1">
      <c r="A84" s="655"/>
      <c r="B84" s="2003" t="s">
        <v>19</v>
      </c>
      <c r="C84" s="2004"/>
      <c r="D84" s="2005"/>
      <c r="E84" s="2006" t="s">
        <v>230</v>
      </c>
      <c r="F84" s="2004"/>
      <c r="G84" s="2005"/>
      <c r="I84" s="543"/>
      <c r="J84" s="165"/>
      <c r="K84" s="165"/>
      <c r="L84" s="165"/>
      <c r="M84" s="165"/>
      <c r="N84" s="165"/>
      <c r="O84" s="165"/>
    </row>
    <row r="85" spans="1:15" ht="12" thickBot="1">
      <c r="A85" s="656"/>
      <c r="B85" s="623">
        <v>2008</v>
      </c>
      <c r="C85" s="624">
        <v>2007</v>
      </c>
      <c r="D85" s="625" t="s">
        <v>44</v>
      </c>
      <c r="E85" s="623">
        <v>2008</v>
      </c>
      <c r="F85" s="624">
        <v>2007</v>
      </c>
      <c r="G85" s="625" t="s">
        <v>44</v>
      </c>
      <c r="I85" s="543"/>
      <c r="J85" s="165"/>
      <c r="K85" s="165"/>
      <c r="L85" s="165"/>
      <c r="M85" s="165"/>
      <c r="N85" s="165"/>
      <c r="O85" s="165"/>
    </row>
    <row r="86" spans="1:15" ht="11.25">
      <c r="A86" s="636" t="s">
        <v>54</v>
      </c>
      <c r="B86" s="1544">
        <v>63316</v>
      </c>
      <c r="C86" s="1111">
        <v>58375</v>
      </c>
      <c r="D86" s="629">
        <f>SUM(B86-C86)/C86</f>
        <v>0.0846423982869379</v>
      </c>
      <c r="E86" s="936">
        <f>SUM(MANZANILLO!C4:C10)</f>
        <v>402348</v>
      </c>
      <c r="F86" s="936">
        <f>SUM(MANZANILLO!D4:D10)</f>
        <v>373156</v>
      </c>
      <c r="G86" s="629">
        <f>SUM(E86-F86)/F86</f>
        <v>0.07823001640064745</v>
      </c>
      <c r="I86" s="543"/>
      <c r="J86" s="165"/>
      <c r="K86" s="165"/>
      <c r="L86" s="165"/>
      <c r="M86" s="165"/>
      <c r="N86" s="165"/>
      <c r="O86" s="165"/>
    </row>
    <row r="87" spans="1:15" ht="11.25">
      <c r="A87" s="643" t="s">
        <v>55</v>
      </c>
      <c r="B87" s="1545">
        <v>45072</v>
      </c>
      <c r="C87" s="158">
        <v>36174</v>
      </c>
      <c r="D87" s="160">
        <f>SUM(B87-C87)/C87</f>
        <v>0.2459777740918892</v>
      </c>
      <c r="E87" s="381">
        <f>SUM(MANZANILLO!H4:H10)</f>
        <v>277976</v>
      </c>
      <c r="F87" s="381">
        <f>SUM(MANZANILLO!I4:I10)</f>
        <v>220802</v>
      </c>
      <c r="G87" s="160">
        <f>SUM(E87-F87)/F87</f>
        <v>0.25893787193956574</v>
      </c>
      <c r="I87" s="543"/>
      <c r="J87" s="165"/>
      <c r="K87" s="165"/>
      <c r="L87" s="165"/>
      <c r="M87" s="165"/>
      <c r="N87" s="165"/>
      <c r="O87" s="165"/>
    </row>
    <row r="88" spans="1:15" ht="11.25">
      <c r="A88" s="546" t="s">
        <v>56</v>
      </c>
      <c r="B88" s="315">
        <f>SUM(B86:B87)</f>
        <v>108388</v>
      </c>
      <c r="C88" s="101">
        <f>SUM(C86:C87)</f>
        <v>94549</v>
      </c>
      <c r="D88" s="99">
        <f>SUM(B88-C88)/C88</f>
        <v>0.14636854964092694</v>
      </c>
      <c r="E88" s="644">
        <f>SUM(E86:E87)</f>
        <v>680324</v>
      </c>
      <c r="F88" s="644">
        <f>SUM(F86:F87)</f>
        <v>593958</v>
      </c>
      <c r="G88" s="99">
        <f>SUM(E88-F88)/F88</f>
        <v>0.14540758774189422</v>
      </c>
      <c r="I88" s="543"/>
      <c r="J88" s="165"/>
      <c r="K88" s="165"/>
      <c r="L88" s="165"/>
      <c r="M88" s="165"/>
      <c r="N88" s="165"/>
      <c r="O88" s="165"/>
    </row>
    <row r="89" spans="1:15" ht="11.25">
      <c r="A89" s="643" t="s">
        <v>57</v>
      </c>
      <c r="B89" s="316">
        <v>20596</v>
      </c>
      <c r="C89" s="158">
        <v>35396</v>
      </c>
      <c r="D89" s="160">
        <f>SUM(B89-C89)/C89</f>
        <v>-0.41812634195954346</v>
      </c>
      <c r="E89" s="381">
        <f>SUM(MANZANILLO!W4:W10)</f>
        <v>167227</v>
      </c>
      <c r="F89" s="381">
        <f>SUM(MANZANILLO!X4:X10)</f>
        <v>222968</v>
      </c>
      <c r="G89" s="160">
        <f>SUM(E89-F89)/F89</f>
        <v>-0.2499955150514872</v>
      </c>
      <c r="I89" s="543"/>
      <c r="J89" s="165"/>
      <c r="K89" s="165"/>
      <c r="L89" s="165"/>
      <c r="M89" s="165"/>
      <c r="N89" s="165"/>
      <c r="O89" s="165"/>
    </row>
    <row r="90" spans="1:15" ht="12" thickBot="1">
      <c r="A90" s="548" t="s">
        <v>58</v>
      </c>
      <c r="B90" s="314">
        <f>SUM(B88:B89)</f>
        <v>128984</v>
      </c>
      <c r="C90" s="102">
        <f>SUM(C88:C89)</f>
        <v>129945</v>
      </c>
      <c r="D90" s="100">
        <f>SUM(B90-C90)/C90</f>
        <v>-0.007395436530839971</v>
      </c>
      <c r="E90" s="382">
        <f>SUM(E88:E89)</f>
        <v>847551</v>
      </c>
      <c r="F90" s="382">
        <f>SUM(F88:F89)</f>
        <v>816926</v>
      </c>
      <c r="G90" s="100">
        <f>SUM(E90-F90)/F90</f>
        <v>0.037488095616983665</v>
      </c>
      <c r="I90" s="543"/>
      <c r="J90" s="165"/>
      <c r="K90" s="165"/>
      <c r="L90" s="165"/>
      <c r="M90" s="165"/>
      <c r="N90" s="165"/>
      <c r="O90" s="165"/>
    </row>
    <row r="91" spans="1:15" ht="11.25">
      <c r="A91" s="1997" t="s">
        <v>163</v>
      </c>
      <c r="B91" s="2007"/>
      <c r="C91" s="2007"/>
      <c r="D91" s="2007"/>
      <c r="E91" s="1998"/>
      <c r="F91" s="1998"/>
      <c r="G91" s="1999"/>
      <c r="I91" s="543"/>
      <c r="J91" s="165"/>
      <c r="K91" s="165"/>
      <c r="L91" s="165"/>
      <c r="M91" s="165"/>
      <c r="N91" s="165"/>
      <c r="O91" s="165"/>
    </row>
    <row r="92" spans="1:15" ht="11.25">
      <c r="A92" s="2008" t="s">
        <v>52</v>
      </c>
      <c r="B92" s="2009"/>
      <c r="C92" s="2009"/>
      <c r="D92" s="2009"/>
      <c r="E92" s="2009"/>
      <c r="F92" s="2009"/>
      <c r="G92" s="2010"/>
      <c r="I92" s="543"/>
      <c r="J92" s="165"/>
      <c r="K92" s="165"/>
      <c r="L92" s="165"/>
      <c r="M92" s="165"/>
      <c r="N92" s="165"/>
      <c r="O92" s="165"/>
    </row>
    <row r="93" spans="1:15" ht="12" thickBot="1">
      <c r="A93" s="2000" t="s">
        <v>53</v>
      </c>
      <c r="B93" s="2001"/>
      <c r="C93" s="2001"/>
      <c r="D93" s="2001"/>
      <c r="E93" s="2001"/>
      <c r="F93" s="2001"/>
      <c r="G93" s="2002"/>
      <c r="I93" s="543"/>
      <c r="J93" s="165"/>
      <c r="K93" s="165"/>
      <c r="L93" s="165"/>
      <c r="M93" s="165"/>
      <c r="N93" s="165"/>
      <c r="O93" s="165"/>
    </row>
    <row r="94" spans="1:15" ht="12" thickBot="1">
      <c r="A94" s="655"/>
      <c r="B94" s="2003" t="s">
        <v>19</v>
      </c>
      <c r="C94" s="2004"/>
      <c r="D94" s="2005"/>
      <c r="E94" s="2006" t="s">
        <v>230</v>
      </c>
      <c r="F94" s="2004"/>
      <c r="G94" s="2005"/>
      <c r="I94" s="543"/>
      <c r="J94" s="165"/>
      <c r="K94" s="165"/>
      <c r="L94" s="165"/>
      <c r="M94" s="165"/>
      <c r="N94" s="165"/>
      <c r="O94" s="165"/>
    </row>
    <row r="95" spans="1:15" ht="12" thickBot="1">
      <c r="A95" s="656"/>
      <c r="B95" s="623">
        <v>2008</v>
      </c>
      <c r="C95" s="624">
        <v>2007</v>
      </c>
      <c r="D95" s="625" t="s">
        <v>44</v>
      </c>
      <c r="E95" s="623">
        <v>2008</v>
      </c>
      <c r="F95" s="624">
        <v>2007</v>
      </c>
      <c r="G95" s="625" t="s">
        <v>44</v>
      </c>
      <c r="I95" s="543"/>
      <c r="J95" s="165"/>
      <c r="K95" s="165"/>
      <c r="L95" s="165"/>
      <c r="M95" s="165"/>
      <c r="N95" s="165"/>
      <c r="O95" s="165"/>
    </row>
    <row r="96" spans="1:15" ht="11.25">
      <c r="A96" s="636" t="s">
        <v>54</v>
      </c>
      <c r="B96" s="1110">
        <f>+B66+B75+B86</f>
        <v>68201</v>
      </c>
      <c r="C96" s="1111">
        <f>+C66+C75+C86</f>
        <v>63652</v>
      </c>
      <c r="D96" s="629">
        <f>SUM(B96-C96)/C96</f>
        <v>0.07146672531892163</v>
      </c>
      <c r="E96" s="637">
        <f>+E66+E75+E86</f>
        <v>423446</v>
      </c>
      <c r="F96" s="649">
        <f>+F66+F75+F86</f>
        <v>397069</v>
      </c>
      <c r="G96" s="612">
        <f>SUM(E96-F96)/F96</f>
        <v>0.06642926040562219</v>
      </c>
      <c r="I96" s="543"/>
      <c r="J96" s="165"/>
      <c r="K96" s="165"/>
      <c r="L96" s="165"/>
      <c r="M96" s="165"/>
      <c r="N96" s="165"/>
      <c r="O96" s="165"/>
    </row>
    <row r="97" spans="1:15" ht="11.25">
      <c r="A97" s="643" t="s">
        <v>55</v>
      </c>
      <c r="B97" s="316">
        <f>+B67+B76+B87</f>
        <v>68178</v>
      </c>
      <c r="C97" s="158">
        <f>+C67+C76+C87</f>
        <v>51337</v>
      </c>
      <c r="D97" s="160">
        <f>SUM(B97-C97)/C97</f>
        <v>0.32804799657167344</v>
      </c>
      <c r="E97" s="381">
        <f>+E67+E76+E87</f>
        <v>401965</v>
      </c>
      <c r="F97" s="158">
        <f>+F67+F76+F87</f>
        <v>301316</v>
      </c>
      <c r="G97" s="160">
        <f>SUM(E97-F97)/F97</f>
        <v>0.3340313823361521</v>
      </c>
      <c r="I97" s="543"/>
      <c r="J97" s="165"/>
      <c r="K97" s="165"/>
      <c r="L97" s="165"/>
      <c r="M97" s="165"/>
      <c r="N97" s="165"/>
      <c r="O97" s="165"/>
    </row>
    <row r="98" spans="1:15" ht="11.25">
      <c r="A98" s="546" t="s">
        <v>56</v>
      </c>
      <c r="B98" s="315">
        <f>SUM(B96:B97)</f>
        <v>136379</v>
      </c>
      <c r="C98" s="101">
        <f>SUM(C96:C97)</f>
        <v>114989</v>
      </c>
      <c r="D98" s="99">
        <f>SUM(B98-C98)/C98</f>
        <v>0.18601779300628757</v>
      </c>
      <c r="E98" s="644">
        <f>SUM(E96:E97)</f>
        <v>825411</v>
      </c>
      <c r="F98" s="101">
        <f>SUM(F96:F97)</f>
        <v>698385</v>
      </c>
      <c r="G98" s="99">
        <f>SUM(E98-F98)/F98</f>
        <v>0.18188534977125798</v>
      </c>
      <c r="I98" s="543"/>
      <c r="J98" s="165"/>
      <c r="K98" s="165"/>
      <c r="L98" s="165"/>
      <c r="M98" s="165"/>
      <c r="N98" s="165"/>
      <c r="O98" s="165"/>
    </row>
    <row r="99" spans="1:15" ht="11.25">
      <c r="A99" s="643" t="s">
        <v>57</v>
      </c>
      <c r="B99" s="316">
        <f>+B69+B78+B89</f>
        <v>50280</v>
      </c>
      <c r="C99" s="158">
        <f>+C69+C78+C89</f>
        <v>53841</v>
      </c>
      <c r="D99" s="160">
        <f>SUM(B99-C99)/C99</f>
        <v>-0.06613918760795676</v>
      </c>
      <c r="E99" s="381">
        <f>+E69+E78+E89</f>
        <v>318536</v>
      </c>
      <c r="F99" s="158">
        <f>+F69+F78+F89</f>
        <v>324642</v>
      </c>
      <c r="G99" s="160">
        <f>SUM(E99-F99)/F99</f>
        <v>-0.018808410495253232</v>
      </c>
      <c r="I99" s="543"/>
      <c r="J99" s="165"/>
      <c r="K99" s="165"/>
      <c r="L99" s="165"/>
      <c r="M99" s="165"/>
      <c r="N99" s="165"/>
      <c r="O99" s="165"/>
    </row>
    <row r="100" spans="1:15" ht="12" thickBot="1">
      <c r="A100" s="548" t="s">
        <v>58</v>
      </c>
      <c r="B100" s="314">
        <f>SUM(B98:B99)</f>
        <v>186659</v>
      </c>
      <c r="C100" s="102">
        <f>SUM(C98:C99)</f>
        <v>168830</v>
      </c>
      <c r="D100" s="100">
        <f>SUM(B100-C100)/C100</f>
        <v>0.10560326956109696</v>
      </c>
      <c r="E100" s="382">
        <f>SUM(E98:E99)</f>
        <v>1143947</v>
      </c>
      <c r="F100" s="102">
        <f>SUM(F98:F99)</f>
        <v>1023027</v>
      </c>
      <c r="G100" s="100">
        <f>SUM(E100-F100)/F100</f>
        <v>0.11819824892207147</v>
      </c>
      <c r="I100" s="543"/>
      <c r="J100" s="165"/>
      <c r="K100" s="165"/>
      <c r="L100" s="165"/>
      <c r="M100" s="165"/>
      <c r="N100" s="165"/>
      <c r="O100" s="165"/>
    </row>
    <row r="101" spans="9:15" ht="11.25">
      <c r="I101" s="543"/>
      <c r="J101" s="165"/>
      <c r="K101" s="165"/>
      <c r="L101" s="165"/>
      <c r="M101" s="165"/>
      <c r="N101" s="165"/>
      <c r="O101" s="165"/>
    </row>
    <row r="102" spans="9:15" ht="11.25">
      <c r="I102" s="543"/>
      <c r="J102" s="165"/>
      <c r="K102" s="165"/>
      <c r="L102" s="165"/>
      <c r="M102" s="165"/>
      <c r="N102" s="165"/>
      <c r="O102" s="165"/>
    </row>
    <row r="103" spans="9:15" ht="11.25">
      <c r="I103" s="543"/>
      <c r="J103" s="165"/>
      <c r="K103" s="165"/>
      <c r="L103" s="165"/>
      <c r="M103" s="165"/>
      <c r="N103" s="165"/>
      <c r="O103" s="165"/>
    </row>
    <row r="104" spans="9:15" ht="11.25">
      <c r="I104" s="543"/>
      <c r="J104" s="165"/>
      <c r="K104" s="165"/>
      <c r="L104" s="165"/>
      <c r="M104" s="165"/>
      <c r="N104" s="165"/>
      <c r="O104" s="165"/>
    </row>
    <row r="105" spans="9:15" ht="11.25">
      <c r="I105" s="543"/>
      <c r="J105" s="165"/>
      <c r="K105" s="165"/>
      <c r="L105" s="165"/>
      <c r="M105" s="165"/>
      <c r="N105" s="165"/>
      <c r="O105" s="165"/>
    </row>
    <row r="106" spans="9:15" ht="11.25">
      <c r="I106" s="543"/>
      <c r="J106" s="165"/>
      <c r="K106" s="165"/>
      <c r="L106" s="165"/>
      <c r="M106" s="165"/>
      <c r="N106" s="165"/>
      <c r="O106" s="165"/>
    </row>
    <row r="107" spans="9:15" ht="11.25">
      <c r="I107" s="543"/>
      <c r="J107" s="165"/>
      <c r="K107" s="165"/>
      <c r="L107" s="165"/>
      <c r="M107" s="165"/>
      <c r="N107" s="165"/>
      <c r="O107" s="165"/>
    </row>
    <row r="108" spans="9:15" ht="11.25">
      <c r="I108" s="543"/>
      <c r="J108" s="165"/>
      <c r="K108" s="165"/>
      <c r="L108" s="165"/>
      <c r="M108" s="165"/>
      <c r="N108" s="165"/>
      <c r="O108" s="165"/>
    </row>
    <row r="109" spans="9:15" ht="11.25">
      <c r="I109" s="543"/>
      <c r="J109" s="165"/>
      <c r="K109" s="165"/>
      <c r="L109" s="165"/>
      <c r="M109" s="165"/>
      <c r="N109" s="165"/>
      <c r="O109" s="165"/>
    </row>
    <row r="110" spans="9:15" ht="11.25">
      <c r="I110" s="543"/>
      <c r="J110" s="165"/>
      <c r="K110" s="165"/>
      <c r="L110" s="165"/>
      <c r="M110" s="165"/>
      <c r="N110" s="165"/>
      <c r="O110" s="165"/>
    </row>
    <row r="111" spans="9:15" ht="11.25">
      <c r="I111" s="543"/>
      <c r="J111" s="165"/>
      <c r="K111" s="165"/>
      <c r="L111" s="165"/>
      <c r="M111" s="165"/>
      <c r="N111" s="165"/>
      <c r="O111" s="165"/>
    </row>
    <row r="112" spans="9:15" ht="11.25">
      <c r="I112" s="543"/>
      <c r="J112" s="165"/>
      <c r="K112" s="165"/>
      <c r="L112" s="165"/>
      <c r="M112" s="165"/>
      <c r="N112" s="165"/>
      <c r="O112" s="165"/>
    </row>
    <row r="113" spans="9:15" ht="11.25">
      <c r="I113" s="543"/>
      <c r="J113" s="165"/>
      <c r="K113" s="165"/>
      <c r="L113" s="165"/>
      <c r="M113" s="165"/>
      <c r="N113" s="165"/>
      <c r="O113" s="165"/>
    </row>
    <row r="114" spans="9:15" ht="11.25">
      <c r="I114" s="543"/>
      <c r="J114" s="165"/>
      <c r="K114" s="165"/>
      <c r="L114" s="165"/>
      <c r="M114" s="165"/>
      <c r="N114" s="165"/>
      <c r="O114" s="165"/>
    </row>
    <row r="115" spans="9:15" ht="11.25">
      <c r="I115" s="543"/>
      <c r="J115" s="165"/>
      <c r="K115" s="165"/>
      <c r="L115" s="165"/>
      <c r="M115" s="165"/>
      <c r="N115" s="165"/>
      <c r="O115" s="165"/>
    </row>
    <row r="116" spans="9:15" ht="11.25">
      <c r="I116" s="543"/>
      <c r="J116" s="165"/>
      <c r="K116" s="165"/>
      <c r="L116" s="165"/>
      <c r="M116" s="165"/>
      <c r="N116" s="165"/>
      <c r="O116" s="165"/>
    </row>
    <row r="117" spans="9:15" ht="11.25">
      <c r="I117" s="543"/>
      <c r="J117" s="165"/>
      <c r="K117" s="165"/>
      <c r="L117" s="165"/>
      <c r="M117" s="165"/>
      <c r="N117" s="165"/>
      <c r="O117" s="165"/>
    </row>
    <row r="118" spans="9:15" ht="11.25">
      <c r="I118" s="543"/>
      <c r="J118" s="165"/>
      <c r="K118" s="165"/>
      <c r="L118" s="165"/>
      <c r="M118" s="165"/>
      <c r="N118" s="165"/>
      <c r="O118" s="165"/>
    </row>
    <row r="119" spans="9:15" ht="11.25">
      <c r="I119" s="543"/>
      <c r="J119" s="165"/>
      <c r="K119" s="165"/>
      <c r="L119" s="165"/>
      <c r="M119" s="165"/>
      <c r="N119" s="165"/>
      <c r="O119" s="165"/>
    </row>
    <row r="120" spans="9:15" ht="11.25">
      <c r="I120" s="543"/>
      <c r="J120" s="165"/>
      <c r="K120" s="165"/>
      <c r="L120" s="165"/>
      <c r="M120" s="165"/>
      <c r="N120" s="165"/>
      <c r="O120" s="165"/>
    </row>
    <row r="121" spans="9:15" ht="11.25">
      <c r="I121" s="543"/>
      <c r="J121" s="165"/>
      <c r="K121" s="165"/>
      <c r="L121" s="165"/>
      <c r="M121" s="165"/>
      <c r="N121" s="165"/>
      <c r="O121" s="165"/>
    </row>
    <row r="122" spans="9:15" ht="11.25">
      <c r="I122" s="543"/>
      <c r="J122" s="165"/>
      <c r="K122" s="165"/>
      <c r="L122" s="165"/>
      <c r="M122" s="165"/>
      <c r="N122" s="165"/>
      <c r="O122" s="165"/>
    </row>
    <row r="123" spans="9:15" ht="11.25">
      <c r="I123" s="543"/>
      <c r="J123" s="165"/>
      <c r="K123" s="165"/>
      <c r="L123" s="165"/>
      <c r="M123" s="165"/>
      <c r="N123" s="165"/>
      <c r="O123" s="165"/>
    </row>
    <row r="124" spans="9:15" ht="11.25">
      <c r="I124" s="543"/>
      <c r="J124" s="165"/>
      <c r="K124" s="165"/>
      <c r="L124" s="165"/>
      <c r="M124" s="165"/>
      <c r="N124" s="165"/>
      <c r="O124" s="165"/>
    </row>
    <row r="125" spans="9:15" ht="11.25">
      <c r="I125" s="543"/>
      <c r="J125" s="165"/>
      <c r="K125" s="165"/>
      <c r="L125" s="165"/>
      <c r="M125" s="165"/>
      <c r="N125" s="165"/>
      <c r="O125" s="165"/>
    </row>
    <row r="126" spans="9:15" ht="11.25">
      <c r="I126" s="543"/>
      <c r="J126" s="165"/>
      <c r="K126" s="165"/>
      <c r="L126" s="165"/>
      <c r="M126" s="165"/>
      <c r="N126" s="165"/>
      <c r="O126" s="165"/>
    </row>
    <row r="127" spans="9:15" ht="11.25">
      <c r="I127" s="543"/>
      <c r="J127" s="165"/>
      <c r="K127" s="165"/>
      <c r="L127" s="165"/>
      <c r="M127" s="165"/>
      <c r="N127" s="165"/>
      <c r="O127" s="165"/>
    </row>
    <row r="128" spans="9:15" ht="11.25">
      <c r="I128" s="543"/>
      <c r="J128" s="165"/>
      <c r="K128" s="165"/>
      <c r="L128" s="165"/>
      <c r="M128" s="165"/>
      <c r="N128" s="165"/>
      <c r="O128" s="165"/>
    </row>
    <row r="129" spans="9:15" ht="11.25">
      <c r="I129" s="543"/>
      <c r="J129" s="165"/>
      <c r="K129" s="165"/>
      <c r="L129" s="165"/>
      <c r="M129" s="165"/>
      <c r="N129" s="165"/>
      <c r="O129" s="165"/>
    </row>
    <row r="130" spans="9:15" ht="11.25">
      <c r="I130" s="543"/>
      <c r="J130" s="165"/>
      <c r="K130" s="165"/>
      <c r="L130" s="165"/>
      <c r="M130" s="165"/>
      <c r="N130" s="165"/>
      <c r="O130" s="165"/>
    </row>
    <row r="131" spans="9:15" ht="11.25">
      <c r="I131" s="543"/>
      <c r="J131" s="165"/>
      <c r="K131" s="165"/>
      <c r="L131" s="165"/>
      <c r="M131" s="165"/>
      <c r="N131" s="165"/>
      <c r="O131" s="165"/>
    </row>
    <row r="132" spans="9:15" ht="11.25">
      <c r="I132" s="543"/>
      <c r="J132" s="165"/>
      <c r="K132" s="165"/>
      <c r="L132" s="165"/>
      <c r="M132" s="165"/>
      <c r="N132" s="165"/>
      <c r="O132" s="165"/>
    </row>
    <row r="133" spans="9:15" ht="11.25">
      <c r="I133" s="543"/>
      <c r="J133" s="165"/>
      <c r="K133" s="165"/>
      <c r="L133" s="165"/>
      <c r="M133" s="165"/>
      <c r="N133" s="165"/>
      <c r="O133" s="165"/>
    </row>
    <row r="134" spans="9:15" ht="11.25">
      <c r="I134" s="543"/>
      <c r="J134" s="165"/>
      <c r="K134" s="165"/>
      <c r="L134" s="165"/>
      <c r="M134" s="165"/>
      <c r="N134" s="165"/>
      <c r="O134" s="165"/>
    </row>
    <row r="135" spans="9:15" ht="11.25">
      <c r="I135" s="543"/>
      <c r="J135" s="165"/>
      <c r="K135" s="165"/>
      <c r="L135" s="165"/>
      <c r="M135" s="165"/>
      <c r="N135" s="165"/>
      <c r="O135" s="165"/>
    </row>
    <row r="136" spans="9:15" ht="11.25">
      <c r="I136" s="543"/>
      <c r="J136" s="165"/>
      <c r="K136" s="165"/>
      <c r="L136" s="165"/>
      <c r="M136" s="165"/>
      <c r="N136" s="165"/>
      <c r="O136" s="165"/>
    </row>
    <row r="137" spans="9:15" ht="11.25">
      <c r="I137" s="543"/>
      <c r="J137" s="165"/>
      <c r="K137" s="165"/>
      <c r="L137" s="165"/>
      <c r="M137" s="165"/>
      <c r="N137" s="165"/>
      <c r="O137" s="165"/>
    </row>
    <row r="138" spans="9:15" ht="11.25">
      <c r="I138" s="543"/>
      <c r="J138" s="165"/>
      <c r="K138" s="165"/>
      <c r="L138" s="165"/>
      <c r="M138" s="165"/>
      <c r="N138" s="165"/>
      <c r="O138" s="165"/>
    </row>
    <row r="139" spans="9:15" ht="11.25">
      <c r="I139" s="543"/>
      <c r="J139" s="165"/>
      <c r="K139" s="165"/>
      <c r="L139" s="165"/>
      <c r="M139" s="165"/>
      <c r="N139" s="165"/>
      <c r="O139" s="165"/>
    </row>
    <row r="140" spans="9:15" ht="11.25">
      <c r="I140" s="543"/>
      <c r="J140" s="165"/>
      <c r="K140" s="165"/>
      <c r="L140" s="165"/>
      <c r="M140" s="165"/>
      <c r="N140" s="165"/>
      <c r="O140" s="165"/>
    </row>
    <row r="141" spans="9:15" ht="11.25">
      <c r="I141" s="543"/>
      <c r="J141" s="165"/>
      <c r="K141" s="165"/>
      <c r="L141" s="165"/>
      <c r="M141" s="165"/>
      <c r="N141" s="165"/>
      <c r="O141" s="165"/>
    </row>
    <row r="142" spans="9:15" ht="11.25">
      <c r="I142" s="543"/>
      <c r="J142" s="165"/>
      <c r="K142" s="165"/>
      <c r="L142" s="165"/>
      <c r="M142" s="165"/>
      <c r="N142" s="165"/>
      <c r="O142" s="165"/>
    </row>
    <row r="143" spans="9:15" ht="11.25">
      <c r="I143" s="543"/>
      <c r="J143" s="165"/>
      <c r="K143" s="165"/>
      <c r="L143" s="165"/>
      <c r="M143" s="165"/>
      <c r="N143" s="165"/>
      <c r="O143" s="165"/>
    </row>
    <row r="144" spans="9:15" ht="11.25">
      <c r="I144" s="543"/>
      <c r="J144" s="165"/>
      <c r="K144" s="165"/>
      <c r="L144" s="165"/>
      <c r="M144" s="165"/>
      <c r="N144" s="165"/>
      <c r="O144" s="165"/>
    </row>
    <row r="145" spans="9:15" ht="11.25">
      <c r="I145" s="543"/>
      <c r="J145" s="165"/>
      <c r="K145" s="165"/>
      <c r="L145" s="165"/>
      <c r="M145" s="165"/>
      <c r="N145" s="165"/>
      <c r="O145" s="165"/>
    </row>
    <row r="146" spans="9:15" ht="11.25">
      <c r="I146" s="543"/>
      <c r="J146" s="165"/>
      <c r="K146" s="165"/>
      <c r="L146" s="165"/>
      <c r="M146" s="165"/>
      <c r="N146" s="165"/>
      <c r="O146" s="165"/>
    </row>
    <row r="147" spans="9:15" ht="11.25">
      <c r="I147" s="543"/>
      <c r="J147" s="165"/>
      <c r="K147" s="165"/>
      <c r="L147" s="165"/>
      <c r="M147" s="165"/>
      <c r="N147" s="165"/>
      <c r="O147" s="165"/>
    </row>
    <row r="148" spans="9:15" ht="11.25">
      <c r="I148" s="543"/>
      <c r="J148" s="165"/>
      <c r="K148" s="165"/>
      <c r="L148" s="165"/>
      <c r="M148" s="165"/>
      <c r="N148" s="165"/>
      <c r="O148" s="165"/>
    </row>
    <row r="149" spans="9:15" ht="11.25">
      <c r="I149" s="543"/>
      <c r="J149" s="165"/>
      <c r="K149" s="165"/>
      <c r="L149" s="165"/>
      <c r="M149" s="165"/>
      <c r="N149" s="165"/>
      <c r="O149" s="165"/>
    </row>
    <row r="150" spans="9:15" ht="11.25">
      <c r="I150" s="543"/>
      <c r="J150" s="165"/>
      <c r="K150" s="165"/>
      <c r="L150" s="165"/>
      <c r="M150" s="165"/>
      <c r="N150" s="165"/>
      <c r="O150" s="165"/>
    </row>
    <row r="151" spans="9:15" ht="11.25">
      <c r="I151" s="543"/>
      <c r="J151" s="165"/>
      <c r="K151" s="165"/>
      <c r="L151" s="165"/>
      <c r="M151" s="165"/>
      <c r="N151" s="165"/>
      <c r="O151" s="165"/>
    </row>
    <row r="152" spans="9:15" ht="11.25">
      <c r="I152" s="543"/>
      <c r="J152" s="165"/>
      <c r="K152" s="165"/>
      <c r="L152" s="165"/>
      <c r="M152" s="165"/>
      <c r="N152" s="165"/>
      <c r="O152" s="165"/>
    </row>
    <row r="153" spans="9:15" ht="11.25">
      <c r="I153" s="543"/>
      <c r="J153" s="165"/>
      <c r="K153" s="165"/>
      <c r="L153" s="165"/>
      <c r="M153" s="165"/>
      <c r="N153" s="165"/>
      <c r="O153" s="165"/>
    </row>
    <row r="154" spans="9:15" ht="11.25">
      <c r="I154" s="543"/>
      <c r="J154" s="165"/>
      <c r="K154" s="165"/>
      <c r="L154" s="165"/>
      <c r="M154" s="165"/>
      <c r="N154" s="165"/>
      <c r="O154" s="165"/>
    </row>
    <row r="155" spans="9:15" ht="11.25">
      <c r="I155" s="543"/>
      <c r="J155" s="165"/>
      <c r="K155" s="165"/>
      <c r="L155" s="165"/>
      <c r="M155" s="165"/>
      <c r="N155" s="165"/>
      <c r="O155" s="165"/>
    </row>
    <row r="156" spans="9:15" ht="11.25">
      <c r="I156" s="543"/>
      <c r="J156" s="165"/>
      <c r="K156" s="165"/>
      <c r="L156" s="165"/>
      <c r="M156" s="165"/>
      <c r="N156" s="165"/>
      <c r="O156" s="165"/>
    </row>
    <row r="157" spans="9:15" ht="11.25">
      <c r="I157" s="543"/>
      <c r="J157" s="165"/>
      <c r="K157" s="165"/>
      <c r="L157" s="165"/>
      <c r="M157" s="165"/>
      <c r="N157" s="165"/>
      <c r="O157" s="165"/>
    </row>
    <row r="158" spans="9:15" ht="11.25">
      <c r="I158" s="543"/>
      <c r="J158" s="165"/>
      <c r="K158" s="165"/>
      <c r="L158" s="165"/>
      <c r="M158" s="165"/>
      <c r="N158" s="165"/>
      <c r="O158" s="165"/>
    </row>
    <row r="159" spans="9:15" ht="11.25">
      <c r="I159" s="543"/>
      <c r="J159" s="165"/>
      <c r="K159" s="165"/>
      <c r="L159" s="165"/>
      <c r="M159" s="165"/>
      <c r="N159" s="165"/>
      <c r="O159" s="165"/>
    </row>
    <row r="160" spans="9:15" ht="11.25">
      <c r="I160" s="543"/>
      <c r="J160" s="165"/>
      <c r="K160" s="165"/>
      <c r="L160" s="165"/>
      <c r="M160" s="165"/>
      <c r="N160" s="165"/>
      <c r="O160" s="165"/>
    </row>
    <row r="161" spans="9:15" ht="11.25">
      <c r="I161" s="543"/>
      <c r="J161" s="165"/>
      <c r="K161" s="165"/>
      <c r="L161" s="165"/>
      <c r="M161" s="165"/>
      <c r="N161" s="165"/>
      <c r="O161" s="165"/>
    </row>
    <row r="162" spans="9:15" ht="11.25">
      <c r="I162" s="543"/>
      <c r="J162" s="165"/>
      <c r="K162" s="165"/>
      <c r="L162" s="165"/>
      <c r="M162" s="165"/>
      <c r="N162" s="165"/>
      <c r="O162" s="165"/>
    </row>
    <row r="163" spans="9:15" ht="11.25">
      <c r="I163" s="543"/>
      <c r="J163" s="165"/>
      <c r="K163" s="165"/>
      <c r="L163" s="165"/>
      <c r="M163" s="165"/>
      <c r="N163" s="165"/>
      <c r="O163" s="165"/>
    </row>
    <row r="164" spans="9:15" ht="11.25">
      <c r="I164" s="543"/>
      <c r="J164" s="165"/>
      <c r="K164" s="165"/>
      <c r="L164" s="165"/>
      <c r="M164" s="165"/>
      <c r="N164" s="165"/>
      <c r="O164" s="165"/>
    </row>
    <row r="165" spans="9:15" ht="11.25">
      <c r="I165" s="543"/>
      <c r="J165" s="165"/>
      <c r="K165" s="165"/>
      <c r="L165" s="165"/>
      <c r="M165" s="165"/>
      <c r="N165" s="165"/>
      <c r="O165" s="165"/>
    </row>
    <row r="166" spans="9:15" ht="11.25">
      <c r="I166" s="543"/>
      <c r="J166" s="165"/>
      <c r="K166" s="165"/>
      <c r="L166" s="165"/>
      <c r="M166" s="165"/>
      <c r="N166" s="165"/>
      <c r="O166" s="165"/>
    </row>
    <row r="167" spans="9:15" ht="11.25">
      <c r="I167" s="543"/>
      <c r="J167" s="165"/>
      <c r="K167" s="165"/>
      <c r="L167" s="165"/>
      <c r="M167" s="165"/>
      <c r="N167" s="165"/>
      <c r="O167" s="165"/>
    </row>
    <row r="168" spans="9:15" ht="11.25">
      <c r="I168" s="543"/>
      <c r="J168" s="165"/>
      <c r="K168" s="165"/>
      <c r="L168" s="165"/>
      <c r="M168" s="165"/>
      <c r="N168" s="165"/>
      <c r="O168" s="165"/>
    </row>
    <row r="169" spans="9:15" ht="11.25">
      <c r="I169" s="543"/>
      <c r="J169" s="165"/>
      <c r="K169" s="165"/>
      <c r="L169" s="165"/>
      <c r="M169" s="165"/>
      <c r="N169" s="165"/>
      <c r="O169" s="165"/>
    </row>
    <row r="170" spans="9:15" ht="11.25">
      <c r="I170" s="543"/>
      <c r="J170" s="165"/>
      <c r="K170" s="165"/>
      <c r="L170" s="165"/>
      <c r="M170" s="165"/>
      <c r="N170" s="165"/>
      <c r="O170" s="165"/>
    </row>
    <row r="171" spans="9:15" ht="11.25">
      <c r="I171" s="543"/>
      <c r="J171" s="165"/>
      <c r="K171" s="165"/>
      <c r="L171" s="165"/>
      <c r="M171" s="165"/>
      <c r="N171" s="165"/>
      <c r="O171" s="165"/>
    </row>
    <row r="172" spans="9:15" ht="11.25">
      <c r="I172" s="543"/>
      <c r="J172" s="165"/>
      <c r="K172" s="165"/>
      <c r="L172" s="165"/>
      <c r="M172" s="165"/>
      <c r="N172" s="165"/>
      <c r="O172" s="165"/>
    </row>
    <row r="173" spans="9:15" ht="11.25">
      <c r="I173" s="543"/>
      <c r="J173" s="165"/>
      <c r="K173" s="165"/>
      <c r="L173" s="165"/>
      <c r="M173" s="165"/>
      <c r="N173" s="165"/>
      <c r="O173" s="165"/>
    </row>
    <row r="174" spans="9:15" ht="11.25">
      <c r="I174" s="543"/>
      <c r="J174" s="165"/>
      <c r="K174" s="165"/>
      <c r="L174" s="165"/>
      <c r="M174" s="165"/>
      <c r="N174" s="165"/>
      <c r="O174" s="165"/>
    </row>
    <row r="175" spans="9:15" ht="11.25">
      <c r="I175" s="543"/>
      <c r="J175" s="165"/>
      <c r="K175" s="165"/>
      <c r="L175" s="165"/>
      <c r="M175" s="165"/>
      <c r="N175" s="165"/>
      <c r="O175" s="165"/>
    </row>
    <row r="176" spans="9:15" ht="11.25">
      <c r="I176" s="543"/>
      <c r="J176" s="165"/>
      <c r="K176" s="165"/>
      <c r="L176" s="165"/>
      <c r="M176" s="165"/>
      <c r="N176" s="165"/>
      <c r="O176" s="165"/>
    </row>
    <row r="177" spans="9:15" ht="11.25">
      <c r="I177" s="543"/>
      <c r="J177" s="165"/>
      <c r="K177" s="165"/>
      <c r="L177" s="165"/>
      <c r="M177" s="165"/>
      <c r="N177" s="165"/>
      <c r="O177" s="165"/>
    </row>
    <row r="178" spans="9:15" ht="11.25">
      <c r="I178" s="543"/>
      <c r="J178" s="165"/>
      <c r="K178" s="165"/>
      <c r="L178" s="165"/>
      <c r="M178" s="165"/>
      <c r="N178" s="165"/>
      <c r="O178" s="165"/>
    </row>
    <row r="179" spans="9:15" ht="11.25">
      <c r="I179" s="543"/>
      <c r="J179" s="165"/>
      <c r="K179" s="165"/>
      <c r="L179" s="165"/>
      <c r="M179" s="165"/>
      <c r="N179" s="165"/>
      <c r="O179" s="165"/>
    </row>
    <row r="180" spans="9:15" ht="11.25">
      <c r="I180" s="543"/>
      <c r="J180" s="165"/>
      <c r="K180" s="165"/>
      <c r="L180" s="165"/>
      <c r="M180" s="165"/>
      <c r="N180" s="165"/>
      <c r="O180" s="165"/>
    </row>
    <row r="181" spans="9:15" ht="11.25">
      <c r="I181" s="543"/>
      <c r="J181" s="165"/>
      <c r="K181" s="165"/>
      <c r="L181" s="165"/>
      <c r="M181" s="165"/>
      <c r="N181" s="165"/>
      <c r="O181" s="165"/>
    </row>
    <row r="182" spans="9:15" ht="11.25">
      <c r="I182" s="543"/>
      <c r="J182" s="165"/>
      <c r="K182" s="165"/>
      <c r="L182" s="165"/>
      <c r="M182" s="165"/>
      <c r="N182" s="165"/>
      <c r="O182" s="165"/>
    </row>
    <row r="183" spans="9:15" ht="11.25">
      <c r="I183" s="543"/>
      <c r="J183" s="165"/>
      <c r="K183" s="165"/>
      <c r="L183" s="165"/>
      <c r="M183" s="165"/>
      <c r="N183" s="165"/>
      <c r="O183" s="165"/>
    </row>
    <row r="184" spans="9:15" ht="11.25">
      <c r="I184" s="543"/>
      <c r="J184" s="165"/>
      <c r="K184" s="165"/>
      <c r="L184" s="165"/>
      <c r="M184" s="165"/>
      <c r="N184" s="165"/>
      <c r="O184" s="165"/>
    </row>
    <row r="185" spans="9:15" ht="11.25">
      <c r="I185" s="543"/>
      <c r="J185" s="165"/>
      <c r="K185" s="165"/>
      <c r="L185" s="165"/>
      <c r="M185" s="165"/>
      <c r="N185" s="165"/>
      <c r="O185" s="165"/>
    </row>
    <row r="186" spans="9:15" ht="11.25">
      <c r="I186" s="543"/>
      <c r="J186" s="165"/>
      <c r="K186" s="165"/>
      <c r="L186" s="165"/>
      <c r="M186" s="165"/>
      <c r="N186" s="165"/>
      <c r="O186" s="165"/>
    </row>
    <row r="187" spans="9:15" ht="11.25">
      <c r="I187" s="543"/>
      <c r="J187" s="165"/>
      <c r="K187" s="165"/>
      <c r="L187" s="165"/>
      <c r="M187" s="165"/>
      <c r="N187" s="165"/>
      <c r="O187" s="165"/>
    </row>
    <row r="188" spans="9:15" ht="11.25">
      <c r="I188" s="543"/>
      <c r="J188" s="165"/>
      <c r="K188" s="165"/>
      <c r="L188" s="165"/>
      <c r="M188" s="165"/>
      <c r="N188" s="165"/>
      <c r="O188" s="165"/>
    </row>
    <row r="189" spans="9:15" ht="11.25">
      <c r="I189" s="543"/>
      <c r="J189" s="165"/>
      <c r="K189" s="165"/>
      <c r="L189" s="165"/>
      <c r="M189" s="165"/>
      <c r="N189" s="165"/>
      <c r="O189" s="165"/>
    </row>
    <row r="190" spans="9:15" ht="11.25">
      <c r="I190" s="543"/>
      <c r="J190" s="165"/>
      <c r="K190" s="165"/>
      <c r="L190" s="165"/>
      <c r="M190" s="165"/>
      <c r="N190" s="165"/>
      <c r="O190" s="165"/>
    </row>
    <row r="191" spans="9:15" ht="11.25">
      <c r="I191" s="543"/>
      <c r="J191" s="165"/>
      <c r="K191" s="165"/>
      <c r="L191" s="165"/>
      <c r="M191" s="165"/>
      <c r="N191" s="165"/>
      <c r="O191" s="165"/>
    </row>
    <row r="192" spans="9:15" ht="11.25">
      <c r="I192" s="543"/>
      <c r="J192" s="165"/>
      <c r="K192" s="165"/>
      <c r="L192" s="165"/>
      <c r="M192" s="165"/>
      <c r="N192" s="165"/>
      <c r="O192" s="165"/>
    </row>
    <row r="193" spans="9:15" ht="11.25">
      <c r="I193" s="543"/>
      <c r="J193" s="165"/>
      <c r="K193" s="165"/>
      <c r="L193" s="165"/>
      <c r="M193" s="165"/>
      <c r="N193" s="165"/>
      <c r="O193" s="165"/>
    </row>
    <row r="194" spans="9:15" ht="11.25">
      <c r="I194" s="543"/>
      <c r="J194" s="165"/>
      <c r="K194" s="165"/>
      <c r="L194" s="165"/>
      <c r="M194" s="165"/>
      <c r="N194" s="165"/>
      <c r="O194" s="165"/>
    </row>
    <row r="195" spans="9:15" ht="11.25">
      <c r="I195" s="543"/>
      <c r="J195" s="165"/>
      <c r="K195" s="165"/>
      <c r="L195" s="165"/>
      <c r="M195" s="165"/>
      <c r="N195" s="165"/>
      <c r="O195" s="165"/>
    </row>
    <row r="196" spans="9:15" ht="11.25">
      <c r="I196" s="543"/>
      <c r="J196" s="165"/>
      <c r="K196" s="165"/>
      <c r="L196" s="165"/>
      <c r="M196" s="165"/>
      <c r="N196" s="165"/>
      <c r="O196" s="165"/>
    </row>
    <row r="197" spans="9:15" ht="11.25">
      <c r="I197" s="543"/>
      <c r="J197" s="165"/>
      <c r="K197" s="165"/>
      <c r="L197" s="165"/>
      <c r="M197" s="165"/>
      <c r="N197" s="165"/>
      <c r="O197" s="165"/>
    </row>
    <row r="198" spans="9:15" ht="11.25">
      <c r="I198" s="543"/>
      <c r="J198" s="165"/>
      <c r="K198" s="165"/>
      <c r="L198" s="165"/>
      <c r="M198" s="165"/>
      <c r="N198" s="165"/>
      <c r="O198" s="165"/>
    </row>
    <row r="199" spans="9:15" ht="11.25">
      <c r="I199" s="543"/>
      <c r="J199" s="165"/>
      <c r="K199" s="165"/>
      <c r="L199" s="165"/>
      <c r="M199" s="165"/>
      <c r="N199" s="165"/>
      <c r="O199" s="165"/>
    </row>
    <row r="200" spans="9:15" ht="11.25">
      <c r="I200" s="543"/>
      <c r="J200" s="165"/>
      <c r="K200" s="165"/>
      <c r="L200" s="165"/>
      <c r="M200" s="165"/>
      <c r="N200" s="165"/>
      <c r="O200" s="165"/>
    </row>
    <row r="201" spans="9:15" ht="11.25">
      <c r="I201" s="543"/>
      <c r="J201" s="165"/>
      <c r="K201" s="165"/>
      <c r="L201" s="165"/>
      <c r="M201" s="165"/>
      <c r="N201" s="165"/>
      <c r="O201" s="165"/>
    </row>
    <row r="202" spans="9:15" ht="11.25">
      <c r="I202" s="543"/>
      <c r="J202" s="165"/>
      <c r="K202" s="165"/>
      <c r="L202" s="165"/>
      <c r="M202" s="165"/>
      <c r="N202" s="165"/>
      <c r="O202" s="165"/>
    </row>
    <row r="203" spans="9:15" ht="11.25">
      <c r="I203" s="543"/>
      <c r="J203" s="165"/>
      <c r="K203" s="165"/>
      <c r="L203" s="165"/>
      <c r="M203" s="165"/>
      <c r="N203" s="165"/>
      <c r="O203" s="165"/>
    </row>
    <row r="204" spans="9:15" ht="11.25">
      <c r="I204" s="543"/>
      <c r="J204" s="165"/>
      <c r="K204" s="165"/>
      <c r="L204" s="165"/>
      <c r="M204" s="165"/>
      <c r="N204" s="165"/>
      <c r="O204" s="165"/>
    </row>
    <row r="205" spans="9:15" ht="11.25">
      <c r="I205" s="543"/>
      <c r="J205" s="165"/>
      <c r="K205" s="165"/>
      <c r="L205" s="165"/>
      <c r="M205" s="165"/>
      <c r="N205" s="165"/>
      <c r="O205" s="165"/>
    </row>
    <row r="206" spans="9:15" ht="11.25">
      <c r="I206" s="543"/>
      <c r="J206" s="165"/>
      <c r="K206" s="165"/>
      <c r="L206" s="165"/>
      <c r="M206" s="165"/>
      <c r="N206" s="165"/>
      <c r="O206" s="165"/>
    </row>
    <row r="207" spans="9:15" ht="11.25">
      <c r="I207" s="543"/>
      <c r="J207" s="165"/>
      <c r="K207" s="165"/>
      <c r="L207" s="165"/>
      <c r="M207" s="165"/>
      <c r="N207" s="165"/>
      <c r="O207" s="165"/>
    </row>
    <row r="208" spans="9:15" ht="11.25">
      <c r="I208" s="543"/>
      <c r="J208" s="165"/>
      <c r="K208" s="165"/>
      <c r="L208" s="165"/>
      <c r="M208" s="165"/>
      <c r="N208" s="165"/>
      <c r="O208" s="165"/>
    </row>
    <row r="209" spans="9:15" ht="11.25">
      <c r="I209" s="543"/>
      <c r="J209" s="165"/>
      <c r="K209" s="165"/>
      <c r="L209" s="165"/>
      <c r="M209" s="165"/>
      <c r="N209" s="165"/>
      <c r="O209" s="165"/>
    </row>
    <row r="210" spans="9:15" ht="11.25">
      <c r="I210" s="543"/>
      <c r="J210" s="165"/>
      <c r="K210" s="165"/>
      <c r="L210" s="165"/>
      <c r="M210" s="165"/>
      <c r="N210" s="165"/>
      <c r="O210" s="165"/>
    </row>
    <row r="211" spans="9:15" ht="11.25">
      <c r="I211" s="543"/>
      <c r="J211" s="165"/>
      <c r="K211" s="165"/>
      <c r="L211" s="165"/>
      <c r="M211" s="165"/>
      <c r="N211" s="165"/>
      <c r="O211" s="165"/>
    </row>
    <row r="212" spans="9:15" ht="11.25">
      <c r="I212" s="543"/>
      <c r="J212" s="165"/>
      <c r="K212" s="165"/>
      <c r="L212" s="165"/>
      <c r="M212" s="165"/>
      <c r="N212" s="165"/>
      <c r="O212" s="165"/>
    </row>
    <row r="213" spans="9:15" ht="11.25">
      <c r="I213" s="543"/>
      <c r="J213" s="165"/>
      <c r="K213" s="165"/>
      <c r="L213" s="165"/>
      <c r="M213" s="165"/>
      <c r="N213" s="165"/>
      <c r="O213" s="165"/>
    </row>
    <row r="214" spans="9:15" ht="11.25">
      <c r="I214" s="543"/>
      <c r="J214" s="165"/>
      <c r="K214" s="165"/>
      <c r="L214" s="165"/>
      <c r="M214" s="165"/>
      <c r="N214" s="165"/>
      <c r="O214" s="165"/>
    </row>
    <row r="215" spans="9:15" ht="11.25">
      <c r="I215" s="543"/>
      <c r="J215" s="165"/>
      <c r="K215" s="165"/>
      <c r="L215" s="165"/>
      <c r="M215" s="165"/>
      <c r="N215" s="165"/>
      <c r="O215" s="165"/>
    </row>
    <row r="216" spans="9:15" ht="11.25">
      <c r="I216" s="543"/>
      <c r="J216" s="165"/>
      <c r="K216" s="165"/>
      <c r="L216" s="165"/>
      <c r="M216" s="165"/>
      <c r="N216" s="165"/>
      <c r="O216" s="165"/>
    </row>
    <row r="217" spans="9:15" ht="11.25">
      <c r="I217" s="543"/>
      <c r="J217" s="165"/>
      <c r="K217" s="165"/>
      <c r="L217" s="165"/>
      <c r="M217" s="165"/>
      <c r="N217" s="165"/>
      <c r="O217" s="165"/>
    </row>
    <row r="218" spans="9:15" ht="11.25">
      <c r="I218" s="543"/>
      <c r="J218" s="165"/>
      <c r="K218" s="165"/>
      <c r="L218" s="165"/>
      <c r="M218" s="165"/>
      <c r="N218" s="165"/>
      <c r="O218" s="165"/>
    </row>
    <row r="219" spans="9:15" ht="11.25">
      <c r="I219" s="543"/>
      <c r="J219" s="165"/>
      <c r="K219" s="165"/>
      <c r="L219" s="165"/>
      <c r="M219" s="165"/>
      <c r="N219" s="165"/>
      <c r="O219" s="165"/>
    </row>
    <row r="220" spans="9:15" ht="11.25">
      <c r="I220" s="543"/>
      <c r="J220" s="165"/>
      <c r="K220" s="165"/>
      <c r="L220" s="165"/>
      <c r="M220" s="165"/>
      <c r="N220" s="165"/>
      <c r="O220" s="165"/>
    </row>
    <row r="221" spans="9:15" ht="11.25">
      <c r="I221" s="543"/>
      <c r="J221" s="165"/>
      <c r="K221" s="165"/>
      <c r="L221" s="165"/>
      <c r="M221" s="165"/>
      <c r="N221" s="165"/>
      <c r="O221" s="165"/>
    </row>
    <row r="222" spans="9:15" ht="11.25">
      <c r="I222" s="543"/>
      <c r="J222" s="165"/>
      <c r="K222" s="165"/>
      <c r="L222" s="165"/>
      <c r="M222" s="165"/>
      <c r="N222" s="165"/>
      <c r="O222" s="165"/>
    </row>
    <row r="223" spans="9:15" ht="11.25">
      <c r="I223" s="543"/>
      <c r="J223" s="165"/>
      <c r="K223" s="165"/>
      <c r="L223" s="165"/>
      <c r="M223" s="165"/>
      <c r="N223" s="165"/>
      <c r="O223" s="165"/>
    </row>
    <row r="224" spans="9:15" ht="11.25">
      <c r="I224" s="543"/>
      <c r="J224" s="165"/>
      <c r="K224" s="165"/>
      <c r="L224" s="165"/>
      <c r="M224" s="165"/>
      <c r="N224" s="165"/>
      <c r="O224" s="165"/>
    </row>
    <row r="225" spans="9:15" ht="11.25">
      <c r="I225" s="543"/>
      <c r="J225" s="165"/>
      <c r="K225" s="165"/>
      <c r="L225" s="165"/>
      <c r="M225" s="165"/>
      <c r="N225" s="165"/>
      <c r="O225" s="165"/>
    </row>
    <row r="226" spans="9:15" ht="11.25">
      <c r="I226" s="543"/>
      <c r="J226" s="165"/>
      <c r="K226" s="165"/>
      <c r="L226" s="165"/>
      <c r="M226" s="165"/>
      <c r="N226" s="165"/>
      <c r="O226" s="165"/>
    </row>
    <row r="227" spans="9:15" ht="11.25">
      <c r="I227" s="543"/>
      <c r="J227" s="165"/>
      <c r="K227" s="165"/>
      <c r="L227" s="165"/>
      <c r="M227" s="165"/>
      <c r="N227" s="165"/>
      <c r="O227" s="165"/>
    </row>
    <row r="228" spans="9:15" ht="11.25">
      <c r="I228" s="543"/>
      <c r="J228" s="165"/>
      <c r="K228" s="165"/>
      <c r="L228" s="165"/>
      <c r="M228" s="165"/>
      <c r="N228" s="165"/>
      <c r="O228" s="165"/>
    </row>
    <row r="229" spans="9:15" ht="11.25">
      <c r="I229" s="543"/>
      <c r="J229" s="165"/>
      <c r="K229" s="165"/>
      <c r="L229" s="165"/>
      <c r="M229" s="165"/>
      <c r="N229" s="165"/>
      <c r="O229" s="165"/>
    </row>
    <row r="230" spans="9:15" ht="11.25">
      <c r="I230" s="543"/>
      <c r="J230" s="165"/>
      <c r="K230" s="165"/>
      <c r="L230" s="165"/>
      <c r="M230" s="165"/>
      <c r="N230" s="165"/>
      <c r="O230" s="165"/>
    </row>
    <row r="231" spans="9:15" ht="11.25">
      <c r="I231" s="543"/>
      <c r="J231" s="165"/>
      <c r="K231" s="165"/>
      <c r="L231" s="165"/>
      <c r="M231" s="165"/>
      <c r="N231" s="165"/>
      <c r="O231" s="165"/>
    </row>
    <row r="232" spans="9:15" ht="11.25">
      <c r="I232" s="543"/>
      <c r="J232" s="165"/>
      <c r="K232" s="165"/>
      <c r="L232" s="165"/>
      <c r="M232" s="165"/>
      <c r="N232" s="165"/>
      <c r="O232" s="165"/>
    </row>
    <row r="233" spans="9:15" ht="11.25">
      <c r="I233" s="543"/>
      <c r="J233" s="165"/>
      <c r="K233" s="165"/>
      <c r="L233" s="165"/>
      <c r="M233" s="165"/>
      <c r="N233" s="165"/>
      <c r="O233" s="165"/>
    </row>
    <row r="234" spans="9:15" ht="11.25">
      <c r="I234" s="543"/>
      <c r="J234" s="165"/>
      <c r="K234" s="165"/>
      <c r="L234" s="165"/>
      <c r="M234" s="165"/>
      <c r="N234" s="165"/>
      <c r="O234" s="165"/>
    </row>
    <row r="235" spans="9:15" ht="11.25">
      <c r="I235" s="543"/>
      <c r="J235" s="165"/>
      <c r="K235" s="165"/>
      <c r="L235" s="165"/>
      <c r="M235" s="165"/>
      <c r="N235" s="165"/>
      <c r="O235" s="165"/>
    </row>
    <row r="236" spans="9:15" ht="11.25">
      <c r="I236" s="543"/>
      <c r="J236" s="165"/>
      <c r="K236" s="165"/>
      <c r="L236" s="165"/>
      <c r="M236" s="165"/>
      <c r="N236" s="165"/>
      <c r="O236" s="165"/>
    </row>
    <row r="237" spans="9:15" ht="11.25">
      <c r="I237" s="543"/>
      <c r="J237" s="165"/>
      <c r="K237" s="165"/>
      <c r="L237" s="165"/>
      <c r="M237" s="165"/>
      <c r="N237" s="165"/>
      <c r="O237" s="165"/>
    </row>
    <row r="238" spans="9:15" ht="11.25">
      <c r="I238" s="543"/>
      <c r="J238" s="165"/>
      <c r="K238" s="165"/>
      <c r="L238" s="165"/>
      <c r="M238" s="165"/>
      <c r="N238" s="165"/>
      <c r="O238" s="165"/>
    </row>
    <row r="239" spans="9:15" ht="11.25">
      <c r="I239" s="543"/>
      <c r="J239" s="165"/>
      <c r="K239" s="165"/>
      <c r="L239" s="165"/>
      <c r="M239" s="165"/>
      <c r="N239" s="165"/>
      <c r="O239" s="165"/>
    </row>
    <row r="240" spans="9:15" ht="11.25">
      <c r="I240" s="543"/>
      <c r="J240" s="165"/>
      <c r="K240" s="165"/>
      <c r="L240" s="165"/>
      <c r="M240" s="165"/>
      <c r="N240" s="165"/>
      <c r="O240" s="165"/>
    </row>
    <row r="241" spans="9:15" ht="11.25">
      <c r="I241" s="543"/>
      <c r="J241" s="165"/>
      <c r="K241" s="165"/>
      <c r="L241" s="165"/>
      <c r="M241" s="165"/>
      <c r="N241" s="165"/>
      <c r="O241" s="165"/>
    </row>
    <row r="242" spans="9:15" ht="11.25">
      <c r="I242" s="543"/>
      <c r="J242" s="165"/>
      <c r="K242" s="165"/>
      <c r="L242" s="165"/>
      <c r="M242" s="165"/>
      <c r="N242" s="165"/>
      <c r="O242" s="165"/>
    </row>
    <row r="243" spans="9:15" ht="11.25">
      <c r="I243" s="543"/>
      <c r="J243" s="165"/>
      <c r="K243" s="165"/>
      <c r="L243" s="165"/>
      <c r="M243" s="165"/>
      <c r="N243" s="165"/>
      <c r="O243" s="165"/>
    </row>
    <row r="244" spans="9:15" ht="11.25">
      <c r="I244" s="543"/>
      <c r="J244" s="165"/>
      <c r="K244" s="165"/>
      <c r="L244" s="165"/>
      <c r="M244" s="165"/>
      <c r="N244" s="165"/>
      <c r="O244" s="165"/>
    </row>
    <row r="245" spans="9:15" ht="11.25">
      <c r="I245" s="543"/>
      <c r="J245" s="165"/>
      <c r="K245" s="165"/>
      <c r="L245" s="165"/>
      <c r="M245" s="165"/>
      <c r="N245" s="165"/>
      <c r="O245" s="165"/>
    </row>
    <row r="246" spans="9:15" ht="11.25">
      <c r="I246" s="543"/>
      <c r="J246" s="165"/>
      <c r="K246" s="165"/>
      <c r="L246" s="165"/>
      <c r="M246" s="165"/>
      <c r="N246" s="165"/>
      <c r="O246" s="165"/>
    </row>
    <row r="247" spans="9:15" ht="11.25">
      <c r="I247" s="543"/>
      <c r="J247" s="165"/>
      <c r="K247" s="165"/>
      <c r="L247" s="165"/>
      <c r="M247" s="165"/>
      <c r="N247" s="165"/>
      <c r="O247" s="165"/>
    </row>
    <row r="248" spans="9:15" ht="11.25">
      <c r="I248" s="543"/>
      <c r="J248" s="165"/>
      <c r="K248" s="165"/>
      <c r="L248" s="165"/>
      <c r="M248" s="165"/>
      <c r="N248" s="165"/>
      <c r="O248" s="165"/>
    </row>
    <row r="249" spans="9:15" ht="11.25">
      <c r="I249" s="543"/>
      <c r="J249" s="165"/>
      <c r="K249" s="165"/>
      <c r="L249" s="165"/>
      <c r="M249" s="165"/>
      <c r="N249" s="165"/>
      <c r="O249" s="165"/>
    </row>
    <row r="250" spans="9:15" ht="11.25">
      <c r="I250" s="543"/>
      <c r="J250" s="165"/>
      <c r="K250" s="165"/>
      <c r="L250" s="165"/>
      <c r="M250" s="165"/>
      <c r="N250" s="165"/>
      <c r="O250" s="165"/>
    </row>
    <row r="251" spans="9:15" ht="11.25">
      <c r="I251" s="543"/>
      <c r="J251" s="165"/>
      <c r="K251" s="165"/>
      <c r="L251" s="165"/>
      <c r="M251" s="165"/>
      <c r="N251" s="165"/>
      <c r="O251" s="165"/>
    </row>
    <row r="252" spans="9:15" ht="11.25">
      <c r="I252" s="543"/>
      <c r="J252" s="165"/>
      <c r="K252" s="165"/>
      <c r="L252" s="165"/>
      <c r="M252" s="165"/>
      <c r="N252" s="165"/>
      <c r="O252" s="165"/>
    </row>
    <row r="253" spans="9:15" ht="11.25">
      <c r="I253" s="543"/>
      <c r="J253" s="165"/>
      <c r="K253" s="165"/>
      <c r="L253" s="165"/>
      <c r="M253" s="165"/>
      <c r="N253" s="165"/>
      <c r="O253" s="165"/>
    </row>
    <row r="254" spans="9:15" ht="11.25">
      <c r="I254" s="543"/>
      <c r="J254" s="165"/>
      <c r="K254" s="165"/>
      <c r="L254" s="165"/>
      <c r="M254" s="165"/>
      <c r="N254" s="165"/>
      <c r="O254" s="165"/>
    </row>
    <row r="255" spans="9:15" ht="11.25">
      <c r="I255" s="543"/>
      <c r="J255" s="165"/>
      <c r="K255" s="165"/>
      <c r="L255" s="165"/>
      <c r="M255" s="165"/>
      <c r="N255" s="165"/>
      <c r="O255" s="165"/>
    </row>
    <row r="256" spans="9:15" ht="11.25">
      <c r="I256" s="543"/>
      <c r="J256" s="165"/>
      <c r="K256" s="165"/>
      <c r="L256" s="165"/>
      <c r="M256" s="165"/>
      <c r="N256" s="165"/>
      <c r="O256" s="165"/>
    </row>
    <row r="257" spans="9:15" ht="11.25">
      <c r="I257" s="543"/>
      <c r="J257" s="165"/>
      <c r="K257" s="165"/>
      <c r="L257" s="165"/>
      <c r="M257" s="165"/>
      <c r="N257" s="165"/>
      <c r="O257" s="165"/>
    </row>
    <row r="258" spans="9:15" ht="11.25">
      <c r="I258" s="543"/>
      <c r="J258" s="165"/>
      <c r="K258" s="165"/>
      <c r="L258" s="165"/>
      <c r="M258" s="165"/>
      <c r="N258" s="165"/>
      <c r="O258" s="165"/>
    </row>
    <row r="259" spans="9:15" ht="11.25">
      <c r="I259" s="543"/>
      <c r="J259" s="165"/>
      <c r="K259" s="165"/>
      <c r="L259" s="165"/>
      <c r="M259" s="165"/>
      <c r="N259" s="165"/>
      <c r="O259" s="165"/>
    </row>
    <row r="260" spans="9:15" ht="11.25">
      <c r="I260" s="543"/>
      <c r="J260" s="165"/>
      <c r="K260" s="165"/>
      <c r="L260" s="165"/>
      <c r="M260" s="165"/>
      <c r="N260" s="165"/>
      <c r="O260" s="165"/>
    </row>
    <row r="261" spans="9:15" ht="11.25">
      <c r="I261" s="543"/>
      <c r="J261" s="165"/>
      <c r="K261" s="165"/>
      <c r="L261" s="165"/>
      <c r="M261" s="165"/>
      <c r="N261" s="165"/>
      <c r="O261" s="165"/>
    </row>
    <row r="262" spans="9:15" ht="11.25">
      <c r="I262" s="543"/>
      <c r="J262" s="165"/>
      <c r="K262" s="165"/>
      <c r="L262" s="165"/>
      <c r="M262" s="165"/>
      <c r="N262" s="165"/>
      <c r="O262" s="165"/>
    </row>
    <row r="263" spans="9:15" ht="11.25">
      <c r="I263" s="543"/>
      <c r="J263" s="165"/>
      <c r="K263" s="165"/>
      <c r="L263" s="165"/>
      <c r="M263" s="165"/>
      <c r="N263" s="165"/>
      <c r="O263" s="165"/>
    </row>
    <row r="264" spans="9:15" ht="11.25">
      <c r="I264" s="543"/>
      <c r="J264" s="165"/>
      <c r="K264" s="165"/>
      <c r="L264" s="165"/>
      <c r="M264" s="165"/>
      <c r="N264" s="165"/>
      <c r="O264" s="165"/>
    </row>
    <row r="265" spans="9:15" ht="11.25">
      <c r="I265" s="543"/>
      <c r="J265" s="165"/>
      <c r="K265" s="165"/>
      <c r="L265" s="165"/>
      <c r="M265" s="165"/>
      <c r="N265" s="165"/>
      <c r="O265" s="165"/>
    </row>
    <row r="266" spans="9:15" ht="11.25">
      <c r="I266" s="543"/>
      <c r="J266" s="165"/>
      <c r="K266" s="165"/>
      <c r="L266" s="165"/>
      <c r="M266" s="165"/>
      <c r="N266" s="165"/>
      <c r="O266" s="165"/>
    </row>
    <row r="267" spans="9:15" ht="11.25">
      <c r="I267" s="543"/>
      <c r="J267" s="165"/>
      <c r="K267" s="165"/>
      <c r="L267" s="165"/>
      <c r="M267" s="165"/>
      <c r="N267" s="165"/>
      <c r="O267" s="165"/>
    </row>
    <row r="268" spans="9:15" ht="11.25">
      <c r="I268" s="543"/>
      <c r="J268" s="165"/>
      <c r="K268" s="165"/>
      <c r="L268" s="165"/>
      <c r="M268" s="165"/>
      <c r="N268" s="165"/>
      <c r="O268" s="165"/>
    </row>
    <row r="269" spans="9:15" ht="11.25">
      <c r="I269" s="543"/>
      <c r="J269" s="165"/>
      <c r="K269" s="165"/>
      <c r="L269" s="165"/>
      <c r="M269" s="165"/>
      <c r="N269" s="165"/>
      <c r="O269" s="165"/>
    </row>
    <row r="270" spans="9:15" ht="11.25">
      <c r="I270" s="543"/>
      <c r="J270" s="165"/>
      <c r="K270" s="165"/>
      <c r="L270" s="165"/>
      <c r="M270" s="165"/>
      <c r="N270" s="165"/>
      <c r="O270" s="165"/>
    </row>
    <row r="271" spans="9:15" ht="11.25">
      <c r="I271" s="543"/>
      <c r="J271" s="165"/>
      <c r="K271" s="165"/>
      <c r="L271" s="165"/>
      <c r="M271" s="165"/>
      <c r="N271" s="165"/>
      <c r="O271" s="165"/>
    </row>
    <row r="272" spans="9:15" ht="11.25">
      <c r="I272" s="543"/>
      <c r="J272" s="165"/>
      <c r="K272" s="165"/>
      <c r="L272" s="165"/>
      <c r="M272" s="165"/>
      <c r="N272" s="165"/>
      <c r="O272" s="165"/>
    </row>
    <row r="273" spans="9:15" ht="11.25">
      <c r="I273" s="543"/>
      <c r="J273" s="165"/>
      <c r="K273" s="165"/>
      <c r="L273" s="165"/>
      <c r="M273" s="165"/>
      <c r="N273" s="165"/>
      <c r="O273" s="165"/>
    </row>
    <row r="274" spans="9:15" ht="11.25">
      <c r="I274" s="543"/>
      <c r="J274" s="165"/>
      <c r="K274" s="165"/>
      <c r="L274" s="165"/>
      <c r="M274" s="165"/>
      <c r="N274" s="165"/>
      <c r="O274" s="165"/>
    </row>
    <row r="275" spans="9:15" ht="11.25">
      <c r="I275" s="543"/>
      <c r="J275" s="165"/>
      <c r="K275" s="165"/>
      <c r="L275" s="165"/>
      <c r="M275" s="165"/>
      <c r="N275" s="165"/>
      <c r="O275" s="165"/>
    </row>
    <row r="276" spans="9:15" ht="11.25">
      <c r="I276" s="543"/>
      <c r="J276" s="165"/>
      <c r="K276" s="165"/>
      <c r="L276" s="165"/>
      <c r="M276" s="165"/>
      <c r="N276" s="165"/>
      <c r="O276" s="165"/>
    </row>
    <row r="277" spans="9:15" ht="11.25">
      <c r="I277" s="543"/>
      <c r="J277" s="165"/>
      <c r="K277" s="165"/>
      <c r="L277" s="165"/>
      <c r="M277" s="165"/>
      <c r="N277" s="165"/>
      <c r="O277" s="165"/>
    </row>
    <row r="278" spans="9:15" ht="11.25">
      <c r="I278" s="543"/>
      <c r="J278" s="165"/>
      <c r="K278" s="165"/>
      <c r="L278" s="165"/>
      <c r="M278" s="165"/>
      <c r="N278" s="165"/>
      <c r="O278" s="165"/>
    </row>
    <row r="279" spans="9:15" ht="11.25">
      <c r="I279" s="543"/>
      <c r="J279" s="165"/>
      <c r="K279" s="165"/>
      <c r="L279" s="165"/>
      <c r="M279" s="165"/>
      <c r="N279" s="165"/>
      <c r="O279" s="165"/>
    </row>
    <row r="280" spans="9:15" ht="11.25">
      <c r="I280" s="543"/>
      <c r="J280" s="165"/>
      <c r="K280" s="165"/>
      <c r="L280" s="165"/>
      <c r="M280" s="165"/>
      <c r="N280" s="165"/>
      <c r="O280" s="165"/>
    </row>
    <row r="281" spans="9:15" ht="11.25">
      <c r="I281" s="543"/>
      <c r="J281" s="165"/>
      <c r="K281" s="165"/>
      <c r="L281" s="165"/>
      <c r="M281" s="165"/>
      <c r="N281" s="165"/>
      <c r="O281" s="165"/>
    </row>
    <row r="282" spans="9:15" ht="11.25">
      <c r="I282" s="543"/>
      <c r="J282" s="165"/>
      <c r="K282" s="165"/>
      <c r="L282" s="165"/>
      <c r="M282" s="165"/>
      <c r="N282" s="165"/>
      <c r="O282" s="165"/>
    </row>
    <row r="283" spans="9:15" ht="11.25">
      <c r="I283" s="543"/>
      <c r="J283" s="165"/>
      <c r="K283" s="165"/>
      <c r="L283" s="165"/>
      <c r="M283" s="165"/>
      <c r="N283" s="165"/>
      <c r="O283" s="165"/>
    </row>
    <row r="284" spans="9:15" ht="11.25">
      <c r="I284" s="543"/>
      <c r="J284" s="165"/>
      <c r="K284" s="165"/>
      <c r="L284" s="165"/>
      <c r="M284" s="165"/>
      <c r="N284" s="165"/>
      <c r="O284" s="165"/>
    </row>
    <row r="285" spans="9:15" ht="11.25">
      <c r="I285" s="543"/>
      <c r="J285" s="165"/>
      <c r="K285" s="165"/>
      <c r="L285" s="165"/>
      <c r="M285" s="165"/>
      <c r="N285" s="165"/>
      <c r="O285" s="165"/>
    </row>
    <row r="286" spans="9:15" ht="11.25">
      <c r="I286" s="543"/>
      <c r="J286" s="165"/>
      <c r="K286" s="165"/>
      <c r="L286" s="165"/>
      <c r="M286" s="165"/>
      <c r="N286" s="165"/>
      <c r="O286" s="165"/>
    </row>
    <row r="287" spans="9:15" ht="11.25">
      <c r="I287" s="543"/>
      <c r="J287" s="165"/>
      <c r="K287" s="165"/>
      <c r="L287" s="165"/>
      <c r="M287" s="165"/>
      <c r="N287" s="165"/>
      <c r="O287" s="165"/>
    </row>
    <row r="288" spans="9:15" ht="11.25">
      <c r="I288" s="543"/>
      <c r="J288" s="165"/>
      <c r="K288" s="165"/>
      <c r="L288" s="165"/>
      <c r="M288" s="165"/>
      <c r="N288" s="165"/>
      <c r="O288" s="165"/>
    </row>
    <row r="289" spans="9:15" ht="11.25">
      <c r="I289" s="543"/>
      <c r="J289" s="165"/>
      <c r="K289" s="165"/>
      <c r="L289" s="165"/>
      <c r="M289" s="165"/>
      <c r="N289" s="165"/>
      <c r="O289" s="165"/>
    </row>
    <row r="290" spans="9:15" ht="11.25">
      <c r="I290" s="543"/>
      <c r="J290" s="165"/>
      <c r="K290" s="165"/>
      <c r="L290" s="165"/>
      <c r="M290" s="165"/>
      <c r="N290" s="165"/>
      <c r="O290" s="165"/>
    </row>
    <row r="291" spans="9:15" ht="11.25">
      <c r="I291" s="543"/>
      <c r="J291" s="165"/>
      <c r="K291" s="165"/>
      <c r="L291" s="165"/>
      <c r="M291" s="165"/>
      <c r="N291" s="165"/>
      <c r="O291" s="165"/>
    </row>
    <row r="292" spans="9:15" ht="11.25">
      <c r="I292" s="543"/>
      <c r="J292" s="165"/>
      <c r="K292" s="165"/>
      <c r="L292" s="165"/>
      <c r="M292" s="165"/>
      <c r="N292" s="165"/>
      <c r="O292" s="165"/>
    </row>
    <row r="293" spans="9:15" ht="11.25">
      <c r="I293" s="543"/>
      <c r="J293" s="165"/>
      <c r="K293" s="165"/>
      <c r="L293" s="165"/>
      <c r="M293" s="165"/>
      <c r="N293" s="165"/>
      <c r="O293" s="165"/>
    </row>
    <row r="294" spans="9:15" ht="11.25">
      <c r="I294" s="543"/>
      <c r="J294" s="165"/>
      <c r="K294" s="165"/>
      <c r="L294" s="165"/>
      <c r="M294" s="165"/>
      <c r="N294" s="165"/>
      <c r="O294" s="165"/>
    </row>
    <row r="295" spans="9:15" ht="11.25">
      <c r="I295" s="543"/>
      <c r="J295" s="165"/>
      <c r="K295" s="165"/>
      <c r="L295" s="165"/>
      <c r="M295" s="165"/>
      <c r="N295" s="165"/>
      <c r="O295" s="165"/>
    </row>
    <row r="296" spans="9:15" ht="11.25">
      <c r="I296" s="543"/>
      <c r="J296" s="165"/>
      <c r="K296" s="165"/>
      <c r="L296" s="165"/>
      <c r="M296" s="165"/>
      <c r="N296" s="165"/>
      <c r="O296" s="165"/>
    </row>
    <row r="297" spans="9:15" ht="11.25">
      <c r="I297" s="543"/>
      <c r="J297" s="165"/>
      <c r="K297" s="165"/>
      <c r="L297" s="165"/>
      <c r="M297" s="165"/>
      <c r="N297" s="165"/>
      <c r="O297" s="165"/>
    </row>
    <row r="298" spans="9:15" ht="11.25">
      <c r="I298" s="543"/>
      <c r="J298" s="165"/>
      <c r="K298" s="165"/>
      <c r="L298" s="165"/>
      <c r="M298" s="165"/>
      <c r="N298" s="165"/>
      <c r="O298" s="165"/>
    </row>
    <row r="299" spans="9:15" ht="11.25">
      <c r="I299" s="543"/>
      <c r="J299" s="165"/>
      <c r="K299" s="165"/>
      <c r="L299" s="165"/>
      <c r="M299" s="165"/>
      <c r="N299" s="165"/>
      <c r="O299" s="165"/>
    </row>
    <row r="300" spans="9:15" ht="11.25">
      <c r="I300" s="543"/>
      <c r="J300" s="165"/>
      <c r="K300" s="165"/>
      <c r="L300" s="165"/>
      <c r="M300" s="165"/>
      <c r="N300" s="165"/>
      <c r="O300" s="165"/>
    </row>
    <row r="301" spans="9:15" ht="11.25">
      <c r="I301" s="543"/>
      <c r="J301" s="165"/>
      <c r="K301" s="165"/>
      <c r="L301" s="165"/>
      <c r="M301" s="165"/>
      <c r="N301" s="165"/>
      <c r="O301" s="165"/>
    </row>
    <row r="302" spans="9:15" ht="11.25">
      <c r="I302" s="543"/>
      <c r="J302" s="165"/>
      <c r="K302" s="165"/>
      <c r="L302" s="165"/>
      <c r="M302" s="165"/>
      <c r="N302" s="165"/>
      <c r="O302" s="165"/>
    </row>
    <row r="303" spans="9:15" ht="11.25">
      <c r="I303" s="543"/>
      <c r="J303" s="165"/>
      <c r="K303" s="165"/>
      <c r="L303" s="165"/>
      <c r="M303" s="165"/>
      <c r="N303" s="165"/>
      <c r="O303" s="165"/>
    </row>
    <row r="304" spans="9:15" ht="11.25">
      <c r="I304" s="543"/>
      <c r="J304" s="165"/>
      <c r="K304" s="165"/>
      <c r="L304" s="165"/>
      <c r="M304" s="165"/>
      <c r="N304" s="165"/>
      <c r="O304" s="165"/>
    </row>
    <row r="305" spans="9:15" ht="11.25">
      <c r="I305" s="543"/>
      <c r="J305" s="165"/>
      <c r="K305" s="165"/>
      <c r="L305" s="165"/>
      <c r="M305" s="165"/>
      <c r="N305" s="165"/>
      <c r="O305" s="165"/>
    </row>
    <row r="306" spans="9:15" ht="11.25">
      <c r="I306" s="543"/>
      <c r="J306" s="165"/>
      <c r="K306" s="165"/>
      <c r="L306" s="165"/>
      <c r="M306" s="165"/>
      <c r="N306" s="165"/>
      <c r="O306" s="165"/>
    </row>
    <row r="307" spans="9:15" ht="11.25">
      <c r="I307" s="543"/>
      <c r="J307" s="165"/>
      <c r="K307" s="165"/>
      <c r="L307" s="165"/>
      <c r="M307" s="165"/>
      <c r="N307" s="165"/>
      <c r="O307" s="165"/>
    </row>
    <row r="308" spans="9:15" ht="11.25">
      <c r="I308" s="543"/>
      <c r="J308" s="165"/>
      <c r="K308" s="165"/>
      <c r="L308" s="165"/>
      <c r="M308" s="165"/>
      <c r="N308" s="165"/>
      <c r="O308" s="165"/>
    </row>
    <row r="309" spans="9:15" ht="11.25">
      <c r="I309" s="543"/>
      <c r="J309" s="165"/>
      <c r="K309" s="165"/>
      <c r="L309" s="165"/>
      <c r="M309" s="165"/>
      <c r="N309" s="165"/>
      <c r="O309" s="165"/>
    </row>
    <row r="310" spans="9:15" ht="11.25">
      <c r="I310" s="543"/>
      <c r="J310" s="165"/>
      <c r="K310" s="165"/>
      <c r="L310" s="165"/>
      <c r="M310" s="165"/>
      <c r="N310" s="165"/>
      <c r="O310" s="165"/>
    </row>
    <row r="311" spans="9:15" ht="11.25">
      <c r="I311" s="543"/>
      <c r="J311" s="165"/>
      <c r="K311" s="165"/>
      <c r="L311" s="165"/>
      <c r="M311" s="165"/>
      <c r="N311" s="165"/>
      <c r="O311" s="165"/>
    </row>
    <row r="312" spans="9:15" ht="11.25">
      <c r="I312" s="543"/>
      <c r="J312" s="165"/>
      <c r="K312" s="165"/>
      <c r="L312" s="165"/>
      <c r="M312" s="165"/>
      <c r="N312" s="165"/>
      <c r="O312" s="165"/>
    </row>
    <row r="313" spans="9:15" ht="11.25">
      <c r="I313" s="543"/>
      <c r="J313" s="165"/>
      <c r="K313" s="165"/>
      <c r="L313" s="165"/>
      <c r="M313" s="165"/>
      <c r="N313" s="165"/>
      <c r="O313" s="165"/>
    </row>
    <row r="314" spans="9:15" ht="11.25">
      <c r="I314" s="543"/>
      <c r="J314" s="165"/>
      <c r="K314" s="165"/>
      <c r="L314" s="165"/>
      <c r="M314" s="165"/>
      <c r="N314" s="165"/>
      <c r="O314" s="165"/>
    </row>
    <row r="315" spans="9:15" ht="11.25">
      <c r="I315" s="543"/>
      <c r="J315" s="165"/>
      <c r="K315" s="165"/>
      <c r="L315" s="165"/>
      <c r="M315" s="165"/>
      <c r="N315" s="165"/>
      <c r="O315" s="165"/>
    </row>
    <row r="316" spans="9:15" ht="11.25">
      <c r="I316" s="543"/>
      <c r="J316" s="165"/>
      <c r="K316" s="165"/>
      <c r="L316" s="165"/>
      <c r="M316" s="165"/>
      <c r="N316" s="165"/>
      <c r="O316" s="165"/>
    </row>
    <row r="317" spans="9:15" ht="11.25">
      <c r="I317" s="543"/>
      <c r="J317" s="165"/>
      <c r="K317" s="165"/>
      <c r="L317" s="165"/>
      <c r="M317" s="165"/>
      <c r="N317" s="165"/>
      <c r="O317" s="165"/>
    </row>
    <row r="318" spans="9:15" ht="11.25">
      <c r="I318" s="543"/>
      <c r="J318" s="165"/>
      <c r="K318" s="165"/>
      <c r="L318" s="165"/>
      <c r="M318" s="165"/>
      <c r="N318" s="165"/>
      <c r="O318" s="165"/>
    </row>
    <row r="319" spans="9:15" ht="11.25">
      <c r="I319" s="543"/>
      <c r="J319" s="165"/>
      <c r="K319" s="165"/>
      <c r="L319" s="165"/>
      <c r="M319" s="165"/>
      <c r="N319" s="165"/>
      <c r="O319" s="165"/>
    </row>
    <row r="320" spans="9:15" ht="11.25">
      <c r="I320" s="543"/>
      <c r="J320" s="165"/>
      <c r="K320" s="165"/>
      <c r="L320" s="165"/>
      <c r="M320" s="165"/>
      <c r="N320" s="165"/>
      <c r="O320" s="165"/>
    </row>
    <row r="321" spans="9:15" ht="11.25">
      <c r="I321" s="543"/>
      <c r="J321" s="165"/>
      <c r="K321" s="165"/>
      <c r="L321" s="165"/>
      <c r="M321" s="165"/>
      <c r="N321" s="165"/>
      <c r="O321" s="165"/>
    </row>
    <row r="322" spans="9:15" ht="11.25">
      <c r="I322" s="543"/>
      <c r="J322" s="165"/>
      <c r="K322" s="165"/>
      <c r="L322" s="165"/>
      <c r="M322" s="165"/>
      <c r="N322" s="165"/>
      <c r="O322" s="165"/>
    </row>
    <row r="323" spans="9:15" ht="11.25">
      <c r="I323" s="543"/>
      <c r="J323" s="165"/>
      <c r="K323" s="165"/>
      <c r="L323" s="165"/>
      <c r="M323" s="165"/>
      <c r="N323" s="165"/>
      <c r="O323" s="165"/>
    </row>
    <row r="324" spans="9:15" ht="11.25">
      <c r="I324" s="543"/>
      <c r="J324" s="165"/>
      <c r="K324" s="165"/>
      <c r="L324" s="165"/>
      <c r="M324" s="165"/>
      <c r="N324" s="165"/>
      <c r="O324" s="165"/>
    </row>
    <row r="325" spans="9:15" ht="11.25">
      <c r="I325" s="543"/>
      <c r="J325" s="165"/>
      <c r="K325" s="165"/>
      <c r="L325" s="165"/>
      <c r="M325" s="165"/>
      <c r="N325" s="165"/>
      <c r="O325" s="165"/>
    </row>
    <row r="326" spans="9:15" ht="11.25">
      <c r="I326" s="543"/>
      <c r="J326" s="165"/>
      <c r="K326" s="165"/>
      <c r="L326" s="165"/>
      <c r="M326" s="165"/>
      <c r="N326" s="165"/>
      <c r="O326" s="165"/>
    </row>
    <row r="327" spans="9:15" ht="11.25">
      <c r="I327" s="543"/>
      <c r="J327" s="165"/>
      <c r="K327" s="165"/>
      <c r="L327" s="165"/>
      <c r="M327" s="165"/>
      <c r="N327" s="165"/>
      <c r="O327" s="165"/>
    </row>
    <row r="328" spans="9:15" ht="11.25">
      <c r="I328" s="543"/>
      <c r="J328" s="165"/>
      <c r="K328" s="165"/>
      <c r="L328" s="165"/>
      <c r="M328" s="165"/>
      <c r="N328" s="165"/>
      <c r="O328" s="165"/>
    </row>
    <row r="329" spans="9:15" ht="11.25">
      <c r="I329" s="543"/>
      <c r="J329" s="165"/>
      <c r="K329" s="165"/>
      <c r="L329" s="165"/>
      <c r="M329" s="165"/>
      <c r="N329" s="165"/>
      <c r="O329" s="165"/>
    </row>
    <row r="330" spans="9:15" ht="11.25">
      <c r="I330" s="543"/>
      <c r="J330" s="165"/>
      <c r="K330" s="165"/>
      <c r="L330" s="165"/>
      <c r="M330" s="165"/>
      <c r="N330" s="165"/>
      <c r="O330" s="165"/>
    </row>
    <row r="331" spans="9:15" ht="11.25">
      <c r="I331" s="543"/>
      <c r="J331" s="165"/>
      <c r="K331" s="165"/>
      <c r="L331" s="165"/>
      <c r="M331" s="165"/>
      <c r="N331" s="165"/>
      <c r="O331" s="165"/>
    </row>
    <row r="332" spans="9:15" ht="11.25">
      <c r="I332" s="543"/>
      <c r="J332" s="165"/>
      <c r="K332" s="165"/>
      <c r="L332" s="165"/>
      <c r="M332" s="165"/>
      <c r="N332" s="165"/>
      <c r="O332" s="165"/>
    </row>
    <row r="333" spans="9:15" ht="11.25">
      <c r="I333" s="543"/>
      <c r="J333" s="165"/>
      <c r="K333" s="165"/>
      <c r="L333" s="165"/>
      <c r="M333" s="165"/>
      <c r="N333" s="165"/>
      <c r="O333" s="165"/>
    </row>
    <row r="334" spans="9:15" ht="11.25">
      <c r="I334" s="543"/>
      <c r="J334" s="165"/>
      <c r="K334" s="165"/>
      <c r="L334" s="165"/>
      <c r="M334" s="165"/>
      <c r="N334" s="165"/>
      <c r="O334" s="165"/>
    </row>
    <row r="335" spans="9:15" ht="11.25">
      <c r="I335" s="543"/>
      <c r="J335" s="165"/>
      <c r="K335" s="165"/>
      <c r="L335" s="165"/>
      <c r="M335" s="165"/>
      <c r="N335" s="165"/>
      <c r="O335" s="165"/>
    </row>
    <row r="336" spans="9:15" ht="11.25">
      <c r="I336" s="543"/>
      <c r="J336" s="165"/>
      <c r="K336" s="165"/>
      <c r="L336" s="165"/>
      <c r="M336" s="165"/>
      <c r="N336" s="165"/>
      <c r="O336" s="165"/>
    </row>
    <row r="337" spans="9:15" ht="11.25">
      <c r="I337" s="543"/>
      <c r="J337" s="165"/>
      <c r="K337" s="165"/>
      <c r="L337" s="165"/>
      <c r="M337" s="165"/>
      <c r="N337" s="165"/>
      <c r="O337" s="165"/>
    </row>
    <row r="338" spans="9:15" ht="11.25">
      <c r="I338" s="543"/>
      <c r="J338" s="165"/>
      <c r="K338" s="165"/>
      <c r="L338" s="165"/>
      <c r="M338" s="165"/>
      <c r="N338" s="165"/>
      <c r="O338" s="165"/>
    </row>
    <row r="339" spans="9:15" ht="11.25">
      <c r="I339" s="543"/>
      <c r="J339" s="165"/>
      <c r="K339" s="165"/>
      <c r="L339" s="165"/>
      <c r="M339" s="165"/>
      <c r="N339" s="165"/>
      <c r="O339" s="165"/>
    </row>
    <row r="340" spans="9:15" ht="11.25">
      <c r="I340" s="543"/>
      <c r="J340" s="165"/>
      <c r="K340" s="165"/>
      <c r="L340" s="165"/>
      <c r="M340" s="165"/>
      <c r="N340" s="165"/>
      <c r="O340" s="165"/>
    </row>
    <row r="341" spans="9:15" ht="11.25">
      <c r="I341" s="543"/>
      <c r="J341" s="165"/>
      <c r="K341" s="165"/>
      <c r="L341" s="165"/>
      <c r="M341" s="165"/>
      <c r="N341" s="165"/>
      <c r="O341" s="165"/>
    </row>
    <row r="342" spans="9:15" ht="11.25">
      <c r="I342" s="543"/>
      <c r="J342" s="165"/>
      <c r="K342" s="165"/>
      <c r="L342" s="165"/>
      <c r="M342" s="165"/>
      <c r="N342" s="165"/>
      <c r="O342" s="165"/>
    </row>
    <row r="343" spans="9:15" ht="11.25">
      <c r="I343" s="543"/>
      <c r="J343" s="165"/>
      <c r="K343" s="165"/>
      <c r="L343" s="165"/>
      <c r="M343" s="165"/>
      <c r="N343" s="165"/>
      <c r="O343" s="165"/>
    </row>
    <row r="344" spans="9:15" ht="11.25">
      <c r="I344" s="543"/>
      <c r="J344" s="165"/>
      <c r="K344" s="165"/>
      <c r="L344" s="165"/>
      <c r="M344" s="165"/>
      <c r="N344" s="165"/>
      <c r="O344" s="165"/>
    </row>
    <row r="345" spans="9:15" ht="11.25">
      <c r="I345" s="543"/>
      <c r="J345" s="165"/>
      <c r="K345" s="165"/>
      <c r="L345" s="165"/>
      <c r="M345" s="165"/>
      <c r="N345" s="165"/>
      <c r="O345" s="165"/>
    </row>
    <row r="346" spans="9:15" ht="11.25">
      <c r="I346" s="543"/>
      <c r="J346" s="165"/>
      <c r="K346" s="165"/>
      <c r="L346" s="165"/>
      <c r="M346" s="165"/>
      <c r="N346" s="165"/>
      <c r="O346" s="165"/>
    </row>
    <row r="347" spans="9:15" ht="11.25">
      <c r="I347" s="543"/>
      <c r="J347" s="165"/>
      <c r="K347" s="165"/>
      <c r="L347" s="165"/>
      <c r="M347" s="165"/>
      <c r="N347" s="165"/>
      <c r="O347" s="165"/>
    </row>
    <row r="348" spans="9:15" ht="11.25">
      <c r="I348" s="543"/>
      <c r="J348" s="165"/>
      <c r="K348" s="165"/>
      <c r="L348" s="165"/>
      <c r="M348" s="165"/>
      <c r="N348" s="165"/>
      <c r="O348" s="165"/>
    </row>
    <row r="349" spans="9:15" ht="11.25">
      <c r="I349" s="543"/>
      <c r="J349" s="165"/>
      <c r="K349" s="165"/>
      <c r="L349" s="165"/>
      <c r="M349" s="165"/>
      <c r="N349" s="165"/>
      <c r="O349" s="165"/>
    </row>
    <row r="350" spans="9:15" ht="11.25">
      <c r="I350" s="543"/>
      <c r="J350" s="165"/>
      <c r="K350" s="165"/>
      <c r="L350" s="165"/>
      <c r="M350" s="165"/>
      <c r="N350" s="165"/>
      <c r="O350" s="165"/>
    </row>
    <row r="351" spans="9:15" ht="11.25">
      <c r="I351" s="543"/>
      <c r="J351" s="165"/>
      <c r="K351" s="165"/>
      <c r="L351" s="165"/>
      <c r="M351" s="165"/>
      <c r="N351" s="165"/>
      <c r="O351" s="165"/>
    </row>
    <row r="352" spans="9:15" ht="11.25">
      <c r="I352" s="543"/>
      <c r="J352" s="165"/>
      <c r="K352" s="165"/>
      <c r="L352" s="165"/>
      <c r="M352" s="165"/>
      <c r="N352" s="165"/>
      <c r="O352" s="165"/>
    </row>
    <row r="353" spans="12:15" ht="11.25">
      <c r="L353" s="165"/>
      <c r="M353" s="165"/>
      <c r="N353" s="165"/>
      <c r="O353" s="165"/>
    </row>
  </sheetData>
  <mergeCells count="78">
    <mergeCell ref="A61:G61"/>
    <mergeCell ref="A62:G62"/>
    <mergeCell ref="A63:G63"/>
    <mergeCell ref="B64:D64"/>
    <mergeCell ref="E64:G64"/>
    <mergeCell ref="A42:G42"/>
    <mergeCell ref="E24:G24"/>
    <mergeCell ref="A41:G41"/>
    <mergeCell ref="A21:G21"/>
    <mergeCell ref="A22:G22"/>
    <mergeCell ref="A23:G23"/>
    <mergeCell ref="A32:G32"/>
    <mergeCell ref="B34:D34"/>
    <mergeCell ref="B24:D24"/>
    <mergeCell ref="A31:G31"/>
    <mergeCell ref="E34:G34"/>
    <mergeCell ref="A33:G33"/>
    <mergeCell ref="A51:G51"/>
    <mergeCell ref="B54:D54"/>
    <mergeCell ref="E54:G54"/>
    <mergeCell ref="A52:G52"/>
    <mergeCell ref="A53:G53"/>
    <mergeCell ref="B44:D44"/>
    <mergeCell ref="E44:G44"/>
    <mergeCell ref="A43:G43"/>
    <mergeCell ref="A11:G11"/>
    <mergeCell ref="A12:G12"/>
    <mergeCell ref="A13:G13"/>
    <mergeCell ref="E14:G14"/>
    <mergeCell ref="B14:D14"/>
    <mergeCell ref="B4:D4"/>
    <mergeCell ref="E4:G4"/>
    <mergeCell ref="A1:G1"/>
    <mergeCell ref="A2:G2"/>
    <mergeCell ref="A3:G3"/>
    <mergeCell ref="I1:O1"/>
    <mergeCell ref="I2:O2"/>
    <mergeCell ref="I3:O3"/>
    <mergeCell ref="J4:L4"/>
    <mergeCell ref="M4:O4"/>
    <mergeCell ref="I13:O13"/>
    <mergeCell ref="I14:O14"/>
    <mergeCell ref="I15:O15"/>
    <mergeCell ref="J16:L16"/>
    <mergeCell ref="M16:O16"/>
    <mergeCell ref="I25:O25"/>
    <mergeCell ref="J26:L26"/>
    <mergeCell ref="M26:O26"/>
    <mergeCell ref="I43:O43"/>
    <mergeCell ref="I35:O35"/>
    <mergeCell ref="I36:O36"/>
    <mergeCell ref="I37:O37"/>
    <mergeCell ref="J38:L38"/>
    <mergeCell ref="M38:O38"/>
    <mergeCell ref="I44:O44"/>
    <mergeCell ref="I45:O45"/>
    <mergeCell ref="J46:L46"/>
    <mergeCell ref="M46:O46"/>
    <mergeCell ref="A71:G71"/>
    <mergeCell ref="A72:G72"/>
    <mergeCell ref="A73:G73"/>
    <mergeCell ref="B74:D74"/>
    <mergeCell ref="E74:G74"/>
    <mergeCell ref="A81:G81"/>
    <mergeCell ref="A82:G82"/>
    <mergeCell ref="A83:G83"/>
    <mergeCell ref="B84:D84"/>
    <mergeCell ref="E84:G84"/>
    <mergeCell ref="A91:G91"/>
    <mergeCell ref="A92:G92"/>
    <mergeCell ref="A93:G93"/>
    <mergeCell ref="B94:D94"/>
    <mergeCell ref="E94:G94"/>
    <mergeCell ref="I54:O54"/>
    <mergeCell ref="I55:O55"/>
    <mergeCell ref="I56:O56"/>
    <mergeCell ref="J57:L57"/>
    <mergeCell ref="M57:O57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T20"/>
  <sheetViews>
    <sheetView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0" sqref="W10:X10"/>
    </sheetView>
  </sheetViews>
  <sheetFormatPr defaultColWidth="9.140625" defaultRowHeight="12.75"/>
  <cols>
    <col min="1" max="1" width="18.140625" style="0" customWidth="1"/>
    <col min="2" max="2" width="6.140625" style="0" customWidth="1"/>
    <col min="3" max="6" width="7.421875" style="0" customWidth="1"/>
    <col min="7" max="7" width="6.140625" style="0" customWidth="1"/>
    <col min="8" max="11" width="7.421875" style="0" customWidth="1"/>
    <col min="12" max="12" width="6.140625" style="0" customWidth="1"/>
    <col min="13" max="16" width="4.421875" style="0" customWidth="1"/>
    <col min="17" max="17" width="6.140625" style="0" customWidth="1"/>
    <col min="18" max="18" width="7.7109375" style="0" bestFit="1" customWidth="1"/>
    <col min="19" max="21" width="6.57421875" style="0" customWidth="1"/>
    <col min="22" max="22" width="6.140625" style="0" customWidth="1"/>
    <col min="23" max="26" width="7.421875" style="0" customWidth="1"/>
    <col min="27" max="27" width="6.140625" style="0" customWidth="1"/>
    <col min="28" max="30" width="7.421875" style="0" customWidth="1"/>
    <col min="31" max="31" width="6.57421875" style="0" customWidth="1"/>
    <col min="32" max="32" width="6.140625" style="0" customWidth="1"/>
    <col min="33" max="36" width="8.7109375" style="0" customWidth="1"/>
  </cols>
  <sheetData>
    <row r="1" spans="1:46" ht="13.5" thickBot="1">
      <c r="A1" s="1901" t="s">
        <v>149</v>
      </c>
      <c r="B1" s="1903"/>
      <c r="C1" s="1904"/>
      <c r="D1" s="1904"/>
      <c r="E1" s="1905"/>
      <c r="F1" s="244"/>
      <c r="G1" s="271"/>
      <c r="H1" s="271"/>
      <c r="I1" s="271"/>
      <c r="J1" s="271"/>
      <c r="K1" s="271"/>
      <c r="L1" s="271"/>
      <c r="M1" s="301"/>
      <c r="N1" s="301"/>
      <c r="O1" s="301"/>
      <c r="P1" s="301"/>
      <c r="Q1" s="244"/>
      <c r="R1" s="386"/>
      <c r="S1" s="386"/>
      <c r="T1" s="386"/>
      <c r="U1" s="386"/>
      <c r="V1" s="271"/>
      <c r="W1" s="301"/>
      <c r="X1" s="301"/>
      <c r="Y1" s="301"/>
      <c r="Z1" s="301"/>
      <c r="AA1" s="271"/>
      <c r="AB1" s="271"/>
      <c r="AC1" s="1906"/>
      <c r="AD1" s="1907"/>
      <c r="AE1" s="1907"/>
      <c r="AF1" s="1907"/>
      <c r="AG1" s="1907"/>
      <c r="AH1" s="1907"/>
      <c r="AI1" s="1907"/>
      <c r="AJ1" s="1908"/>
      <c r="AK1" s="318"/>
      <c r="AL1" s="318"/>
      <c r="AM1" s="318"/>
      <c r="AN1" s="318"/>
      <c r="AO1" s="318"/>
      <c r="AP1" s="318"/>
      <c r="AQ1" s="318"/>
      <c r="AR1" s="318"/>
      <c r="AS1" s="318"/>
      <c r="AT1" s="318"/>
    </row>
    <row r="2" spans="1:46" ht="23.25" thickBot="1">
      <c r="A2" s="1902"/>
      <c r="B2" s="554" t="s">
        <v>179</v>
      </c>
      <c r="C2" s="466">
        <v>2008</v>
      </c>
      <c r="D2" s="466">
        <v>2007</v>
      </c>
      <c r="E2" s="466">
        <v>2006</v>
      </c>
      <c r="F2" s="466">
        <v>2005</v>
      </c>
      <c r="G2" s="496" t="s">
        <v>179</v>
      </c>
      <c r="H2" s="112">
        <v>2008</v>
      </c>
      <c r="I2" s="112">
        <v>2007</v>
      </c>
      <c r="J2" s="112">
        <v>2006</v>
      </c>
      <c r="K2" s="112">
        <v>2005</v>
      </c>
      <c r="L2" s="1074" t="s">
        <v>179</v>
      </c>
      <c r="M2" s="619">
        <v>2008</v>
      </c>
      <c r="N2" s="619">
        <v>2007</v>
      </c>
      <c r="O2" s="619">
        <v>2006</v>
      </c>
      <c r="P2" s="619">
        <v>2005</v>
      </c>
      <c r="Q2" s="331" t="s">
        <v>179</v>
      </c>
      <c r="R2" s="177">
        <v>2008</v>
      </c>
      <c r="S2" s="177">
        <v>2007</v>
      </c>
      <c r="T2" s="177">
        <v>2006</v>
      </c>
      <c r="U2" s="177">
        <v>2005</v>
      </c>
      <c r="V2" s="460" t="s">
        <v>179</v>
      </c>
      <c r="W2" s="130">
        <v>2008</v>
      </c>
      <c r="X2" s="130">
        <v>2007</v>
      </c>
      <c r="Y2" s="130">
        <v>2006</v>
      </c>
      <c r="Z2" s="130">
        <v>2005</v>
      </c>
      <c r="AA2" s="501" t="s">
        <v>179</v>
      </c>
      <c r="AB2" s="114">
        <v>2008</v>
      </c>
      <c r="AC2" s="114">
        <v>2007</v>
      </c>
      <c r="AD2" s="114">
        <v>2006</v>
      </c>
      <c r="AE2" s="114">
        <v>2005</v>
      </c>
      <c r="AF2" s="568" t="s">
        <v>179</v>
      </c>
      <c r="AG2" s="569">
        <v>2008</v>
      </c>
      <c r="AH2" s="569">
        <v>2007</v>
      </c>
      <c r="AI2" s="569">
        <v>2006</v>
      </c>
      <c r="AJ2" s="570">
        <v>2005</v>
      </c>
      <c r="AK2" s="318"/>
      <c r="AL2" s="318"/>
      <c r="AM2" s="318"/>
      <c r="AN2" s="318"/>
      <c r="AO2" s="318"/>
      <c r="AP2" s="318"/>
      <c r="AQ2" s="318"/>
      <c r="AR2" s="318"/>
      <c r="AS2" s="318"/>
      <c r="AT2" s="318"/>
    </row>
    <row r="3" spans="1:46" s="310" customFormat="1" ht="13.5" thickBot="1">
      <c r="A3" s="309"/>
      <c r="B3" s="1891" t="s">
        <v>100</v>
      </c>
      <c r="C3" s="1892"/>
      <c r="D3" s="1892"/>
      <c r="E3" s="1892"/>
      <c r="F3" s="1892"/>
      <c r="G3" s="1896" t="s">
        <v>69</v>
      </c>
      <c r="H3" s="1896"/>
      <c r="I3" s="1896"/>
      <c r="J3" s="1896"/>
      <c r="K3" s="1896"/>
      <c r="L3" s="1890" t="s">
        <v>88</v>
      </c>
      <c r="M3" s="1896"/>
      <c r="N3" s="1896"/>
      <c r="O3" s="1896"/>
      <c r="P3" s="1896"/>
      <c r="Q3" s="1891" t="s">
        <v>71</v>
      </c>
      <c r="R3" s="1892"/>
      <c r="S3" s="1892"/>
      <c r="T3" s="1892"/>
      <c r="U3" s="1892"/>
      <c r="V3" s="1890" t="s">
        <v>49</v>
      </c>
      <c r="W3" s="1896"/>
      <c r="X3" s="1896"/>
      <c r="Y3" s="1896"/>
      <c r="Z3" s="1896"/>
      <c r="AA3" s="1890" t="s">
        <v>116</v>
      </c>
      <c r="AB3" s="1896"/>
      <c r="AC3" s="1896"/>
      <c r="AD3" s="1896"/>
      <c r="AE3" s="1896"/>
      <c r="AF3" s="1893" t="s">
        <v>143</v>
      </c>
      <c r="AG3" s="1884"/>
      <c r="AH3" s="1885"/>
      <c r="AI3" s="1885"/>
      <c r="AJ3" s="1886"/>
      <c r="AK3" s="333"/>
      <c r="AL3" s="333"/>
      <c r="AM3" s="333"/>
      <c r="AN3" s="333"/>
      <c r="AO3" s="333"/>
      <c r="AP3" s="333"/>
      <c r="AQ3" s="333"/>
      <c r="AR3" s="333"/>
      <c r="AS3" s="333"/>
      <c r="AT3" s="333"/>
    </row>
    <row r="4" spans="1:46" ht="12.75">
      <c r="A4" s="696" t="s">
        <v>13</v>
      </c>
      <c r="B4" s="751">
        <f aca="true" t="shared" si="0" ref="B4:B10">SUM(C4-D4)/D4</f>
        <v>-0.02790855410150016</v>
      </c>
      <c r="C4" s="1010">
        <v>48729</v>
      </c>
      <c r="D4" s="752">
        <v>50128</v>
      </c>
      <c r="E4" s="752">
        <v>39575</v>
      </c>
      <c r="F4" s="790">
        <v>30526</v>
      </c>
      <c r="G4" s="1270">
        <f aca="true" t="shared" si="1" ref="G4:G10">SUM(H4-I4)/I4</f>
        <v>0.1364947372363936</v>
      </c>
      <c r="H4" s="1100">
        <v>30341</v>
      </c>
      <c r="I4" s="755">
        <v>26697</v>
      </c>
      <c r="J4" s="755">
        <v>26697</v>
      </c>
      <c r="K4" s="755">
        <v>14445</v>
      </c>
      <c r="L4" s="1067" t="e">
        <f aca="true" t="shared" si="2" ref="L4:L10">SUM(M4-N4)/N4</f>
        <v>#DIV/0!</v>
      </c>
      <c r="M4" s="1091">
        <v>0</v>
      </c>
      <c r="N4" s="620">
        <v>0</v>
      </c>
      <c r="O4" s="620">
        <v>0</v>
      </c>
      <c r="P4" s="620">
        <v>0</v>
      </c>
      <c r="Q4" s="756">
        <f aca="true" t="shared" si="3" ref="Q4:Q10">SUM(R4-S4)/S4</f>
        <v>0.029222258379433777</v>
      </c>
      <c r="R4" s="757">
        <f>+C4+H4+M4</f>
        <v>79070</v>
      </c>
      <c r="S4" s="757">
        <f>+D4+I4+N4</f>
        <v>76825</v>
      </c>
      <c r="T4" s="757">
        <f>+E4+J4+O4</f>
        <v>66272</v>
      </c>
      <c r="U4" s="757">
        <f>+F4+K4+P4</f>
        <v>44971</v>
      </c>
      <c r="V4" s="758">
        <f aca="true" t="shared" si="4" ref="V4:V10">SUM(W4-X4)/X4</f>
        <v>-0.3289418653283145</v>
      </c>
      <c r="W4" s="550">
        <v>25672</v>
      </c>
      <c r="X4" s="550">
        <v>38256</v>
      </c>
      <c r="Y4" s="550">
        <v>27351</v>
      </c>
      <c r="Z4" s="550">
        <v>25106</v>
      </c>
      <c r="AA4" s="759">
        <f aca="true" t="shared" si="5" ref="AA4:AA10">SUM(AB4-AC4)/AC4</f>
        <v>-0.08984106846482043</v>
      </c>
      <c r="AB4" s="197">
        <f>+R4+W4</f>
        <v>104742</v>
      </c>
      <c r="AC4" s="197">
        <f>+S4+X4</f>
        <v>115081</v>
      </c>
      <c r="AD4" s="197">
        <f>+T4+Y4</f>
        <v>93623</v>
      </c>
      <c r="AE4" s="197">
        <f>+U4+Z4</f>
        <v>70077</v>
      </c>
      <c r="AF4" s="1075">
        <f aca="true" t="shared" si="6" ref="AF4:AF10">SUM(AG4-AH4)/AH4</f>
        <v>0.07715001363737592</v>
      </c>
      <c r="AG4" s="1094">
        <v>860938</v>
      </c>
      <c r="AH4" s="760">
        <v>799274</v>
      </c>
      <c r="AI4" s="760">
        <v>634896</v>
      </c>
      <c r="AJ4" s="761">
        <v>474627</v>
      </c>
      <c r="AK4" s="318"/>
      <c r="AL4" s="318"/>
      <c r="AM4" s="318"/>
      <c r="AN4" s="318"/>
      <c r="AO4" s="318"/>
      <c r="AP4" s="318"/>
      <c r="AQ4" s="318"/>
      <c r="AR4" s="318"/>
      <c r="AS4" s="318"/>
      <c r="AT4" s="318"/>
    </row>
    <row r="5" spans="1:46" ht="12.75">
      <c r="A5" s="539" t="s">
        <v>14</v>
      </c>
      <c r="B5" s="763">
        <f t="shared" si="0"/>
        <v>0.30289278368952877</v>
      </c>
      <c r="C5" s="743">
        <v>58281</v>
      </c>
      <c r="D5" s="352">
        <v>44732</v>
      </c>
      <c r="E5" s="352">
        <v>39876</v>
      </c>
      <c r="F5" s="738">
        <v>30293</v>
      </c>
      <c r="G5" s="764">
        <f t="shared" si="1"/>
        <v>0.3546132507115322</v>
      </c>
      <c r="H5" s="1101">
        <v>37600</v>
      </c>
      <c r="I5" s="353">
        <v>27757</v>
      </c>
      <c r="J5" s="353">
        <v>17399</v>
      </c>
      <c r="K5" s="353">
        <v>14997</v>
      </c>
      <c r="L5" s="1069" t="e">
        <f t="shared" si="2"/>
        <v>#DIV/0!</v>
      </c>
      <c r="M5" s="1092">
        <v>0</v>
      </c>
      <c r="N5" s="621">
        <v>0</v>
      </c>
      <c r="O5" s="621">
        <v>0</v>
      </c>
      <c r="P5" s="621">
        <v>0</v>
      </c>
      <c r="Q5" s="765">
        <f t="shared" si="3"/>
        <v>0.3226972368221385</v>
      </c>
      <c r="R5" s="766">
        <f aca="true" t="shared" si="7" ref="R5:U7">+C5+H5+M5</f>
        <v>95881</v>
      </c>
      <c r="S5" s="766">
        <f t="shared" si="7"/>
        <v>72489</v>
      </c>
      <c r="T5" s="766">
        <f t="shared" si="7"/>
        <v>57275</v>
      </c>
      <c r="U5" s="766">
        <f t="shared" si="7"/>
        <v>45290</v>
      </c>
      <c r="V5" s="767">
        <f t="shared" si="4"/>
        <v>-0.10371626395365267</v>
      </c>
      <c r="W5" s="329">
        <v>25372</v>
      </c>
      <c r="X5" s="329">
        <v>28308</v>
      </c>
      <c r="Y5" s="329">
        <v>20643</v>
      </c>
      <c r="Z5" s="329">
        <v>16570</v>
      </c>
      <c r="AA5" s="768">
        <f t="shared" si="5"/>
        <v>0.20294254789329047</v>
      </c>
      <c r="AB5" s="121">
        <f aca="true" t="shared" si="8" ref="AB5:AE7">+R5+W5</f>
        <v>121253</v>
      </c>
      <c r="AC5" s="121">
        <f t="shared" si="8"/>
        <v>100797</v>
      </c>
      <c r="AD5" s="121">
        <f t="shared" si="8"/>
        <v>77918</v>
      </c>
      <c r="AE5" s="121">
        <f t="shared" si="8"/>
        <v>61860</v>
      </c>
      <c r="AF5" s="1076">
        <f t="shared" si="6"/>
        <v>0.3782296477576414</v>
      </c>
      <c r="AG5" s="1095">
        <v>1028344</v>
      </c>
      <c r="AH5" s="481">
        <v>746134</v>
      </c>
      <c r="AI5" s="481">
        <v>659770</v>
      </c>
      <c r="AJ5" s="769">
        <v>462640</v>
      </c>
      <c r="AK5" s="318"/>
      <c r="AL5" s="318"/>
      <c r="AM5" s="318"/>
      <c r="AN5" s="318"/>
      <c r="AO5" s="318"/>
      <c r="AP5" s="318"/>
      <c r="AQ5" s="318"/>
      <c r="AR5" s="318"/>
      <c r="AS5" s="318"/>
      <c r="AT5" s="318"/>
    </row>
    <row r="6" spans="1:46" ht="12.75">
      <c r="A6" s="539" t="s">
        <v>15</v>
      </c>
      <c r="B6" s="763">
        <f t="shared" si="0"/>
        <v>0.06439041414611447</v>
      </c>
      <c r="C6" s="743">
        <v>54897</v>
      </c>
      <c r="D6" s="352">
        <v>51576</v>
      </c>
      <c r="E6" s="352">
        <v>44333</v>
      </c>
      <c r="F6" s="738">
        <v>31961</v>
      </c>
      <c r="G6" s="764">
        <f t="shared" si="1"/>
        <v>0.24974267802002434</v>
      </c>
      <c r="H6" s="1101">
        <v>40068</v>
      </c>
      <c r="I6" s="353">
        <v>32061</v>
      </c>
      <c r="J6" s="353">
        <v>26177</v>
      </c>
      <c r="K6" s="353">
        <v>18013</v>
      </c>
      <c r="L6" s="1069" t="e">
        <f t="shared" si="2"/>
        <v>#DIV/0!</v>
      </c>
      <c r="M6" s="1092">
        <v>0</v>
      </c>
      <c r="N6" s="621">
        <v>0</v>
      </c>
      <c r="O6" s="621">
        <v>0</v>
      </c>
      <c r="P6" s="621">
        <v>0</v>
      </c>
      <c r="Q6" s="765">
        <f t="shared" si="3"/>
        <v>0.13544244772050648</v>
      </c>
      <c r="R6" s="766">
        <f>+C6+H6+M6</f>
        <v>94965</v>
      </c>
      <c r="S6" s="766">
        <f t="shared" si="7"/>
        <v>83637</v>
      </c>
      <c r="T6" s="766">
        <f t="shared" si="7"/>
        <v>70510</v>
      </c>
      <c r="U6" s="766">
        <f t="shared" si="7"/>
        <v>49974</v>
      </c>
      <c r="V6" s="767">
        <f t="shared" si="4"/>
        <v>-0.08338218559260664</v>
      </c>
      <c r="W6" s="329">
        <v>26581</v>
      </c>
      <c r="X6" s="329">
        <v>28999</v>
      </c>
      <c r="Y6" s="329">
        <v>22292</v>
      </c>
      <c r="Z6" s="329">
        <v>19086</v>
      </c>
      <c r="AA6" s="768">
        <f t="shared" si="5"/>
        <v>0.07910437160410526</v>
      </c>
      <c r="AB6" s="121">
        <f>+R6+W6</f>
        <v>121546</v>
      </c>
      <c r="AC6" s="121">
        <f t="shared" si="8"/>
        <v>112636</v>
      </c>
      <c r="AD6" s="121">
        <f t="shared" si="8"/>
        <v>92802</v>
      </c>
      <c r="AE6" s="121">
        <f t="shared" si="8"/>
        <v>69060</v>
      </c>
      <c r="AF6" s="1076">
        <f t="shared" si="6"/>
        <v>0.1964209322223049</v>
      </c>
      <c r="AG6" s="1095">
        <v>1029190</v>
      </c>
      <c r="AH6" s="481">
        <v>860224</v>
      </c>
      <c r="AI6" s="481">
        <v>744337</v>
      </c>
      <c r="AJ6" s="769">
        <v>520533</v>
      </c>
      <c r="AK6" s="318"/>
      <c r="AL6" s="318"/>
      <c r="AM6" s="318"/>
      <c r="AN6" s="318"/>
      <c r="AO6" s="318"/>
      <c r="AP6" s="318"/>
      <c r="AQ6" s="318"/>
      <c r="AR6" s="318"/>
      <c r="AS6" s="318"/>
      <c r="AT6" s="318"/>
    </row>
    <row r="7" spans="1:46" ht="12.75">
      <c r="A7" s="539" t="s">
        <v>16</v>
      </c>
      <c r="B7" s="763">
        <f t="shared" si="0"/>
        <v>-0.05037156415077446</v>
      </c>
      <c r="C7" s="743">
        <v>53032</v>
      </c>
      <c r="D7" s="352">
        <v>55845</v>
      </c>
      <c r="E7" s="352">
        <v>49958</v>
      </c>
      <c r="F7" s="738">
        <v>31690</v>
      </c>
      <c r="G7" s="764">
        <f t="shared" si="1"/>
        <v>0.18577988915281077</v>
      </c>
      <c r="H7" s="1101">
        <v>37441</v>
      </c>
      <c r="I7" s="353">
        <v>31575</v>
      </c>
      <c r="J7" s="353">
        <v>27514</v>
      </c>
      <c r="K7" s="353">
        <v>16105</v>
      </c>
      <c r="L7" s="1069" t="e">
        <f t="shared" si="2"/>
        <v>#DIV/0!</v>
      </c>
      <c r="M7" s="1092">
        <v>0</v>
      </c>
      <c r="N7" s="621">
        <v>0</v>
      </c>
      <c r="O7" s="621">
        <v>0</v>
      </c>
      <c r="P7" s="621">
        <v>0</v>
      </c>
      <c r="Q7" s="765">
        <f t="shared" si="3"/>
        <v>0.03492335849919927</v>
      </c>
      <c r="R7" s="766">
        <f>+C7+H7+M7</f>
        <v>90473</v>
      </c>
      <c r="S7" s="766">
        <f t="shared" si="7"/>
        <v>87420</v>
      </c>
      <c r="T7" s="766">
        <f t="shared" si="7"/>
        <v>77472</v>
      </c>
      <c r="U7" s="766">
        <f t="shared" si="7"/>
        <v>47795</v>
      </c>
      <c r="V7" s="767">
        <f t="shared" si="4"/>
        <v>-0.2168380686770089</v>
      </c>
      <c r="W7" s="329">
        <v>22465</v>
      </c>
      <c r="X7" s="329">
        <v>28685</v>
      </c>
      <c r="Y7" s="329">
        <v>22199</v>
      </c>
      <c r="Z7" s="329">
        <v>18935</v>
      </c>
      <c r="AA7" s="768">
        <f t="shared" si="5"/>
        <v>-0.02727703371947806</v>
      </c>
      <c r="AB7" s="121">
        <f>+R7+W7</f>
        <v>112938</v>
      </c>
      <c r="AC7" s="121">
        <f t="shared" si="8"/>
        <v>116105</v>
      </c>
      <c r="AD7" s="121">
        <f t="shared" si="8"/>
        <v>99671</v>
      </c>
      <c r="AE7" s="121">
        <f t="shared" si="8"/>
        <v>66730</v>
      </c>
      <c r="AF7" s="1076">
        <f t="shared" si="6"/>
        <v>0.07165201913449772</v>
      </c>
      <c r="AG7" s="1095">
        <v>963308</v>
      </c>
      <c r="AH7" s="481">
        <v>898900</v>
      </c>
      <c r="AI7" s="481">
        <v>800464</v>
      </c>
      <c r="AJ7" s="769">
        <v>500814</v>
      </c>
      <c r="AK7" s="318"/>
      <c r="AL7" s="318"/>
      <c r="AM7" s="318"/>
      <c r="AN7" s="318"/>
      <c r="AO7" s="318"/>
      <c r="AP7" s="318"/>
      <c r="AQ7" s="318"/>
      <c r="AR7" s="318"/>
      <c r="AS7" s="318"/>
      <c r="AT7" s="318"/>
    </row>
    <row r="8" spans="1:46" ht="12.75">
      <c r="A8" s="539" t="s">
        <v>17</v>
      </c>
      <c r="B8" s="763">
        <f t="shared" si="0"/>
        <v>0.17736757624398075</v>
      </c>
      <c r="C8" s="743">
        <v>66015</v>
      </c>
      <c r="D8" s="352">
        <v>56070</v>
      </c>
      <c r="E8" s="352">
        <v>51199</v>
      </c>
      <c r="F8" s="738">
        <v>30033</v>
      </c>
      <c r="G8" s="1271">
        <f t="shared" si="1"/>
        <v>0.3941869647087408</v>
      </c>
      <c r="H8" s="1101">
        <v>45905</v>
      </c>
      <c r="I8" s="353">
        <v>32926</v>
      </c>
      <c r="J8" s="353">
        <v>30142</v>
      </c>
      <c r="K8" s="353">
        <v>14873</v>
      </c>
      <c r="L8" s="1069" t="e">
        <f t="shared" si="2"/>
        <v>#DIV/0!</v>
      </c>
      <c r="M8" s="1092">
        <v>0</v>
      </c>
      <c r="N8" s="621">
        <v>0</v>
      </c>
      <c r="O8" s="621">
        <v>0</v>
      </c>
      <c r="P8" s="621">
        <v>0</v>
      </c>
      <c r="Q8" s="765">
        <f t="shared" si="3"/>
        <v>0.2575846105442941</v>
      </c>
      <c r="R8" s="766">
        <f>+C8+H8+M8</f>
        <v>111920</v>
      </c>
      <c r="S8" s="766">
        <f>+D8+I8+N8</f>
        <v>88996</v>
      </c>
      <c r="T8" s="766">
        <f aca="true" t="shared" si="9" ref="T8:T16">+E8+J8+O8</f>
        <v>81341</v>
      </c>
      <c r="U8" s="766">
        <f aca="true" t="shared" si="10" ref="U8:U16">+F8+K8+P8</f>
        <v>44906</v>
      </c>
      <c r="V8" s="767">
        <f t="shared" si="4"/>
        <v>-0.1511619911991199</v>
      </c>
      <c r="W8" s="329">
        <v>24691</v>
      </c>
      <c r="X8" s="329">
        <v>29088</v>
      </c>
      <c r="Y8" s="329">
        <v>24196</v>
      </c>
      <c r="Z8" s="329">
        <v>17688</v>
      </c>
      <c r="AA8" s="768">
        <f t="shared" si="5"/>
        <v>0.15689678533925003</v>
      </c>
      <c r="AB8" s="121">
        <f>+R8+W8</f>
        <v>136611</v>
      </c>
      <c r="AC8" s="121">
        <f aca="true" t="shared" si="11" ref="AC8:AC16">+S8+X8</f>
        <v>118084</v>
      </c>
      <c r="AD8" s="121">
        <f aca="true" t="shared" si="12" ref="AD8:AD15">+T8+Y8</f>
        <v>105537</v>
      </c>
      <c r="AE8" s="121">
        <f aca="true" t="shared" si="13" ref="AE8:AE15">+U8+Z8</f>
        <v>62594</v>
      </c>
      <c r="AF8" s="1076">
        <f t="shared" si="6"/>
        <v>0.2965666306604132</v>
      </c>
      <c r="AG8" s="1095">
        <v>1211119</v>
      </c>
      <c r="AH8" s="481">
        <v>934097</v>
      </c>
      <c r="AI8" s="481">
        <v>834619</v>
      </c>
      <c r="AJ8" s="769">
        <v>456848</v>
      </c>
      <c r="AK8" s="318"/>
      <c r="AL8" s="318"/>
      <c r="AM8" s="318"/>
      <c r="AN8" s="318"/>
      <c r="AO8" s="318"/>
      <c r="AP8" s="318"/>
      <c r="AQ8" s="318"/>
      <c r="AR8" s="318"/>
      <c r="AS8" s="318"/>
      <c r="AT8" s="318"/>
    </row>
    <row r="9" spans="1:46" ht="12.75">
      <c r="A9" s="539" t="s">
        <v>18</v>
      </c>
      <c r="B9" s="763">
        <f t="shared" si="0"/>
        <v>0.029204323941166045</v>
      </c>
      <c r="C9" s="743">
        <v>58078</v>
      </c>
      <c r="D9" s="737">
        <v>56430</v>
      </c>
      <c r="E9" s="737">
        <v>49540</v>
      </c>
      <c r="F9" s="738">
        <v>31230</v>
      </c>
      <c r="G9" s="1271">
        <f t="shared" si="1"/>
        <v>0.2361359038438653</v>
      </c>
      <c r="H9" s="1101">
        <v>41549</v>
      </c>
      <c r="I9" s="541">
        <v>33612</v>
      </c>
      <c r="J9" s="541">
        <v>29555</v>
      </c>
      <c r="K9" s="541">
        <v>16327</v>
      </c>
      <c r="L9" s="1069" t="e">
        <f t="shared" si="2"/>
        <v>#DIV/0!</v>
      </c>
      <c r="M9" s="1092">
        <v>0</v>
      </c>
      <c r="N9" s="621">
        <v>0</v>
      </c>
      <c r="O9" s="621">
        <v>0</v>
      </c>
      <c r="P9" s="621">
        <v>0</v>
      </c>
      <c r="Q9" s="765">
        <f t="shared" si="3"/>
        <v>0.10645032318251482</v>
      </c>
      <c r="R9" s="766">
        <f>+C9+H9+M9</f>
        <v>99627</v>
      </c>
      <c r="S9" s="766">
        <f>+D9+I9+N9</f>
        <v>90042</v>
      </c>
      <c r="T9" s="766">
        <f t="shared" si="9"/>
        <v>79095</v>
      </c>
      <c r="U9" s="766">
        <f t="shared" si="10"/>
        <v>47557</v>
      </c>
      <c r="V9" s="767">
        <f t="shared" si="4"/>
        <v>-0.36178291856525296</v>
      </c>
      <c r="W9" s="328">
        <v>21850</v>
      </c>
      <c r="X9" s="328">
        <v>34236</v>
      </c>
      <c r="Y9" s="328">
        <v>25455</v>
      </c>
      <c r="Z9" s="328">
        <v>21961</v>
      </c>
      <c r="AA9" s="768">
        <f t="shared" si="5"/>
        <v>-0.022538180530745588</v>
      </c>
      <c r="AB9" s="121">
        <f>+R9+W9</f>
        <v>121477</v>
      </c>
      <c r="AC9" s="121">
        <f t="shared" si="11"/>
        <v>124278</v>
      </c>
      <c r="AD9" s="121">
        <f t="shared" si="12"/>
        <v>104550</v>
      </c>
      <c r="AE9" s="121">
        <f t="shared" si="13"/>
        <v>69518</v>
      </c>
      <c r="AF9" s="1076">
        <f t="shared" si="6"/>
        <v>0.256948013998127</v>
      </c>
      <c r="AG9" s="1095">
        <v>1071063</v>
      </c>
      <c r="AH9" s="770">
        <v>852114</v>
      </c>
      <c r="AI9" s="770">
        <v>822322</v>
      </c>
      <c r="AJ9" s="769">
        <v>481774</v>
      </c>
      <c r="AK9" s="318"/>
      <c r="AL9" s="318"/>
      <c r="AM9" s="318"/>
      <c r="AN9" s="318"/>
      <c r="AO9" s="318"/>
      <c r="AP9" s="318"/>
      <c r="AQ9" s="318"/>
      <c r="AR9" s="318"/>
      <c r="AS9" s="318"/>
      <c r="AT9" s="318"/>
    </row>
    <row r="10" spans="1:46" ht="12.75">
      <c r="A10" s="539" t="s">
        <v>19</v>
      </c>
      <c r="B10" s="763">
        <f t="shared" si="0"/>
        <v>0.0846423982869379</v>
      </c>
      <c r="C10" s="743">
        <v>63316</v>
      </c>
      <c r="D10" s="737">
        <v>58375</v>
      </c>
      <c r="E10" s="737">
        <v>53554</v>
      </c>
      <c r="F10" s="738">
        <v>37869</v>
      </c>
      <c r="G10" s="1271">
        <f t="shared" si="1"/>
        <v>0.2459777740918892</v>
      </c>
      <c r="H10" s="1101">
        <v>45072</v>
      </c>
      <c r="I10" s="541">
        <v>36174</v>
      </c>
      <c r="J10" s="541">
        <v>32346</v>
      </c>
      <c r="K10" s="541">
        <v>20542</v>
      </c>
      <c r="L10" s="1069" t="e">
        <f t="shared" si="2"/>
        <v>#DIV/0!</v>
      </c>
      <c r="M10" s="1092">
        <v>0</v>
      </c>
      <c r="N10" s="621">
        <v>0</v>
      </c>
      <c r="O10" s="621">
        <v>0</v>
      </c>
      <c r="P10" s="621">
        <v>0</v>
      </c>
      <c r="Q10" s="765">
        <f t="shared" si="3"/>
        <v>0.14636854964092694</v>
      </c>
      <c r="R10" s="1788">
        <f>+C10+H10+M10</f>
        <v>108388</v>
      </c>
      <c r="S10" s="766">
        <f>+D10+I10+N10</f>
        <v>94549</v>
      </c>
      <c r="T10" s="766">
        <f t="shared" si="9"/>
        <v>85900</v>
      </c>
      <c r="U10" s="766">
        <f t="shared" si="10"/>
        <v>58411</v>
      </c>
      <c r="V10" s="767">
        <f t="shared" si="4"/>
        <v>-0.41812634195954346</v>
      </c>
      <c r="W10" s="328">
        <v>20596</v>
      </c>
      <c r="X10" s="328">
        <v>35396</v>
      </c>
      <c r="Y10" s="328">
        <v>29912</v>
      </c>
      <c r="Z10" s="328">
        <v>21801</v>
      </c>
      <c r="AA10" s="768">
        <f t="shared" si="5"/>
        <v>-0.007395436530839971</v>
      </c>
      <c r="AB10" s="121">
        <f>+R10+W10</f>
        <v>128984</v>
      </c>
      <c r="AC10" s="121">
        <f t="shared" si="11"/>
        <v>129945</v>
      </c>
      <c r="AD10" s="121">
        <f t="shared" si="12"/>
        <v>115812</v>
      </c>
      <c r="AE10" s="121">
        <f t="shared" si="13"/>
        <v>80212</v>
      </c>
      <c r="AF10" s="1076">
        <f t="shared" si="6"/>
        <v>0.13801497120997708</v>
      </c>
      <c r="AG10" s="1095">
        <v>1143548</v>
      </c>
      <c r="AH10" s="770">
        <v>1004862</v>
      </c>
      <c r="AI10" s="770">
        <v>914058</v>
      </c>
      <c r="AJ10" s="769">
        <v>597423</v>
      </c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</row>
    <row r="11" spans="1:46" ht="12.75">
      <c r="A11" s="539" t="s">
        <v>20</v>
      </c>
      <c r="B11" s="763"/>
      <c r="C11" s="743"/>
      <c r="D11" s="737">
        <v>61230</v>
      </c>
      <c r="E11" s="737">
        <v>51493</v>
      </c>
      <c r="F11" s="738">
        <v>37411</v>
      </c>
      <c r="G11" s="1271"/>
      <c r="H11" s="1101"/>
      <c r="I11" s="541">
        <v>35885</v>
      </c>
      <c r="J11" s="541">
        <v>31039</v>
      </c>
      <c r="K11" s="541">
        <v>18247</v>
      </c>
      <c r="L11" s="1069"/>
      <c r="M11" s="1092"/>
      <c r="N11" s="621">
        <v>0</v>
      </c>
      <c r="O11" s="621">
        <v>0</v>
      </c>
      <c r="P11" s="621">
        <v>174</v>
      </c>
      <c r="Q11" s="765"/>
      <c r="R11" s="1080"/>
      <c r="S11" s="766">
        <f aca="true" t="shared" si="14" ref="S11:S16">+D11+I11+N11</f>
        <v>97115</v>
      </c>
      <c r="T11" s="766">
        <f t="shared" si="9"/>
        <v>82532</v>
      </c>
      <c r="U11" s="766">
        <f t="shared" si="10"/>
        <v>55832</v>
      </c>
      <c r="V11" s="767"/>
      <c r="W11" s="328"/>
      <c r="X11" s="328">
        <v>33005</v>
      </c>
      <c r="Y11" s="328">
        <v>28782</v>
      </c>
      <c r="Z11" s="328">
        <v>21412</v>
      </c>
      <c r="AA11" s="768"/>
      <c r="AB11" s="121"/>
      <c r="AC11" s="121">
        <f t="shared" si="11"/>
        <v>130120</v>
      </c>
      <c r="AD11" s="121">
        <f t="shared" si="12"/>
        <v>111314</v>
      </c>
      <c r="AE11" s="121">
        <f t="shared" si="13"/>
        <v>77244</v>
      </c>
      <c r="AF11" s="1076"/>
      <c r="AG11" s="1095"/>
      <c r="AH11" s="770">
        <v>998788</v>
      </c>
      <c r="AI11" s="770">
        <v>864753</v>
      </c>
      <c r="AJ11" s="769">
        <v>561933</v>
      </c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</row>
    <row r="12" spans="1:46" ht="12.75">
      <c r="A12" s="539" t="s">
        <v>21</v>
      </c>
      <c r="B12" s="763"/>
      <c r="C12" s="743"/>
      <c r="D12" s="737">
        <v>55803</v>
      </c>
      <c r="E12" s="737">
        <v>57370</v>
      </c>
      <c r="F12" s="738">
        <v>34540</v>
      </c>
      <c r="G12" s="1271"/>
      <c r="H12" s="1101"/>
      <c r="I12" s="541">
        <v>33431</v>
      </c>
      <c r="J12" s="541">
        <v>29016</v>
      </c>
      <c r="K12" s="541">
        <v>16840</v>
      </c>
      <c r="L12" s="1069"/>
      <c r="M12" s="1092"/>
      <c r="N12" s="621">
        <v>0</v>
      </c>
      <c r="O12" s="621">
        <v>0</v>
      </c>
      <c r="P12" s="621">
        <v>0</v>
      </c>
      <c r="Q12" s="765"/>
      <c r="R12" s="1080"/>
      <c r="S12" s="766">
        <f t="shared" si="14"/>
        <v>89234</v>
      </c>
      <c r="T12" s="766">
        <f t="shared" si="9"/>
        <v>86386</v>
      </c>
      <c r="U12" s="766">
        <f t="shared" si="10"/>
        <v>51380</v>
      </c>
      <c r="V12" s="767"/>
      <c r="W12" s="328"/>
      <c r="X12" s="328">
        <v>30750</v>
      </c>
      <c r="Y12" s="328">
        <v>28536</v>
      </c>
      <c r="Z12" s="328">
        <v>22315</v>
      </c>
      <c r="AA12" s="768"/>
      <c r="AB12" s="121"/>
      <c r="AC12" s="121">
        <f t="shared" si="11"/>
        <v>119984</v>
      </c>
      <c r="AD12" s="121">
        <f t="shared" si="12"/>
        <v>114922</v>
      </c>
      <c r="AE12" s="121">
        <f t="shared" si="13"/>
        <v>73695</v>
      </c>
      <c r="AF12" s="1076"/>
      <c r="AG12" s="1095"/>
      <c r="AH12" s="770">
        <v>930332</v>
      </c>
      <c r="AI12" s="770">
        <v>882726</v>
      </c>
      <c r="AJ12" s="769">
        <v>505248</v>
      </c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</row>
    <row r="13" spans="1:46" ht="12.75">
      <c r="A13" s="539" t="s">
        <v>22</v>
      </c>
      <c r="B13" s="763"/>
      <c r="C13" s="743"/>
      <c r="D13" s="737">
        <v>57467</v>
      </c>
      <c r="E13" s="737">
        <v>58965</v>
      </c>
      <c r="F13" s="738">
        <v>41696</v>
      </c>
      <c r="G13" s="1271"/>
      <c r="H13" s="1101"/>
      <c r="I13" s="541">
        <v>33653</v>
      </c>
      <c r="J13" s="541">
        <v>33015</v>
      </c>
      <c r="K13" s="541">
        <v>19896</v>
      </c>
      <c r="L13" s="1069"/>
      <c r="M13" s="1092"/>
      <c r="N13" s="621">
        <v>0</v>
      </c>
      <c r="O13" s="621">
        <v>0</v>
      </c>
      <c r="P13" s="621">
        <v>0</v>
      </c>
      <c r="Q13" s="765"/>
      <c r="R13" s="1080"/>
      <c r="S13" s="766">
        <f t="shared" si="14"/>
        <v>91120</v>
      </c>
      <c r="T13" s="766">
        <f t="shared" si="9"/>
        <v>91980</v>
      </c>
      <c r="U13" s="766">
        <f t="shared" si="10"/>
        <v>61592</v>
      </c>
      <c r="V13" s="767"/>
      <c r="W13" s="328"/>
      <c r="X13" s="328">
        <v>28915</v>
      </c>
      <c r="Y13" s="328">
        <v>23693</v>
      </c>
      <c r="Z13" s="328">
        <v>21918</v>
      </c>
      <c r="AA13" s="768"/>
      <c r="AB13" s="121"/>
      <c r="AC13" s="121">
        <f t="shared" si="11"/>
        <v>120035</v>
      </c>
      <c r="AD13" s="121">
        <f t="shared" si="12"/>
        <v>115673</v>
      </c>
      <c r="AE13" s="121">
        <f t="shared" si="13"/>
        <v>83510</v>
      </c>
      <c r="AF13" s="1076"/>
      <c r="AG13" s="1095"/>
      <c r="AH13" s="770">
        <v>956304</v>
      </c>
      <c r="AI13" s="770">
        <v>932948</v>
      </c>
      <c r="AJ13" s="769">
        <v>610102</v>
      </c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</row>
    <row r="14" spans="1:46" ht="12.75">
      <c r="A14" s="539" t="s">
        <v>23</v>
      </c>
      <c r="B14" s="763"/>
      <c r="C14" s="743"/>
      <c r="D14" s="352">
        <v>54579</v>
      </c>
      <c r="E14" s="352">
        <v>53948</v>
      </c>
      <c r="F14" s="738">
        <v>38169</v>
      </c>
      <c r="G14" s="1271"/>
      <c r="H14" s="1101"/>
      <c r="I14" s="353">
        <v>33265</v>
      </c>
      <c r="J14" s="353">
        <v>29957</v>
      </c>
      <c r="K14" s="541">
        <v>18746</v>
      </c>
      <c r="L14" s="1069"/>
      <c r="M14" s="1092"/>
      <c r="N14" s="621">
        <v>0</v>
      </c>
      <c r="O14" s="621">
        <v>0</v>
      </c>
      <c r="P14" s="621">
        <v>0</v>
      </c>
      <c r="Q14" s="765"/>
      <c r="R14" s="1080"/>
      <c r="S14" s="766">
        <f t="shared" si="14"/>
        <v>87844</v>
      </c>
      <c r="T14" s="766">
        <f t="shared" si="9"/>
        <v>83905</v>
      </c>
      <c r="U14" s="766">
        <f t="shared" si="10"/>
        <v>56915</v>
      </c>
      <c r="V14" s="767"/>
      <c r="W14" s="329"/>
      <c r="X14" s="329">
        <v>27449</v>
      </c>
      <c r="Y14" s="329">
        <v>32306</v>
      </c>
      <c r="Z14" s="328">
        <v>23001</v>
      </c>
      <c r="AA14" s="768"/>
      <c r="AB14" s="121"/>
      <c r="AC14" s="121">
        <f t="shared" si="11"/>
        <v>115293</v>
      </c>
      <c r="AD14" s="121">
        <f t="shared" si="12"/>
        <v>116211</v>
      </c>
      <c r="AE14" s="121">
        <f t="shared" si="13"/>
        <v>79916</v>
      </c>
      <c r="AF14" s="1076"/>
      <c r="AG14" s="1095"/>
      <c r="AH14" s="770">
        <v>949316</v>
      </c>
      <c r="AI14" s="770">
        <v>872041</v>
      </c>
      <c r="AJ14" s="769">
        <v>582232</v>
      </c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</row>
    <row r="15" spans="1:46" ht="13.5" thickBot="1">
      <c r="A15" s="791" t="s">
        <v>24</v>
      </c>
      <c r="B15" s="772"/>
      <c r="C15" s="1156"/>
      <c r="D15" s="387">
        <v>51167</v>
      </c>
      <c r="E15" s="387">
        <v>46047</v>
      </c>
      <c r="F15" s="1360">
        <v>35682</v>
      </c>
      <c r="G15" s="1272"/>
      <c r="H15" s="1102"/>
      <c r="I15" s="385">
        <v>33337</v>
      </c>
      <c r="J15" s="385">
        <v>28973</v>
      </c>
      <c r="K15" s="545">
        <v>18509</v>
      </c>
      <c r="L15" s="1079"/>
      <c r="M15" s="1093"/>
      <c r="N15" s="622">
        <v>0</v>
      </c>
      <c r="O15" s="622">
        <v>0</v>
      </c>
      <c r="P15" s="622">
        <v>3</v>
      </c>
      <c r="Q15" s="1083"/>
      <c r="R15" s="1081"/>
      <c r="S15" s="776">
        <f t="shared" si="14"/>
        <v>84504</v>
      </c>
      <c r="T15" s="776">
        <f t="shared" si="9"/>
        <v>75020</v>
      </c>
      <c r="U15" s="776">
        <f t="shared" si="10"/>
        <v>54194</v>
      </c>
      <c r="V15" s="994"/>
      <c r="W15" s="133"/>
      <c r="X15" s="133">
        <v>24284</v>
      </c>
      <c r="Y15" s="133">
        <v>26577</v>
      </c>
      <c r="Z15" s="553">
        <v>23959</v>
      </c>
      <c r="AA15" s="778"/>
      <c r="AB15" s="555"/>
      <c r="AC15" s="555">
        <f t="shared" si="11"/>
        <v>108788</v>
      </c>
      <c r="AD15" s="555">
        <f t="shared" si="12"/>
        <v>101597</v>
      </c>
      <c r="AE15" s="555">
        <f t="shared" si="13"/>
        <v>78153</v>
      </c>
      <c r="AF15" s="1096"/>
      <c r="AG15" s="1097"/>
      <c r="AH15" s="1087">
        <v>922383</v>
      </c>
      <c r="AI15" s="1087">
        <v>804458</v>
      </c>
      <c r="AJ15" s="1088">
        <v>563069</v>
      </c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</row>
    <row r="16" spans="1:46" s="3" customFormat="1" ht="11.25">
      <c r="A16" s="781" t="s">
        <v>25</v>
      </c>
      <c r="B16" s="1050">
        <f>SUM(C16-D16)/D16</f>
        <v>0.07823001640064745</v>
      </c>
      <c r="C16" s="792">
        <f>SUM(C4:C10)</f>
        <v>402348</v>
      </c>
      <c r="D16" s="792">
        <f>SUM(D4:D10)</f>
        <v>373156</v>
      </c>
      <c r="E16" s="792">
        <f>SUM(E4:E10)</f>
        <v>328035</v>
      </c>
      <c r="F16" s="792">
        <f>SUM(F4:F10)</f>
        <v>223602</v>
      </c>
      <c r="G16" s="875">
        <f>SUM(H16-I16)/I16</f>
        <v>0.25893787193956574</v>
      </c>
      <c r="H16" s="792">
        <f>SUM(H4:H10)</f>
        <v>277976</v>
      </c>
      <c r="I16" s="792">
        <f>SUM(I4:I10)</f>
        <v>220802</v>
      </c>
      <c r="J16" s="792">
        <f>SUM(J4:J10)</f>
        <v>189830</v>
      </c>
      <c r="K16" s="792">
        <f>SUM(K4:K10)</f>
        <v>115302</v>
      </c>
      <c r="L16" s="875" t="e">
        <f>SUM(M16-N16)/N16</f>
        <v>#DIV/0!</v>
      </c>
      <c r="M16" s="792">
        <f>SUM(M4:M10)</f>
        <v>0</v>
      </c>
      <c r="N16" s="792">
        <f>SUM(N4:N10)</f>
        <v>0</v>
      </c>
      <c r="O16" s="792">
        <f>SUM(O4:O10)</f>
        <v>0</v>
      </c>
      <c r="P16" s="792">
        <f>SUM(P4:P10)</f>
        <v>0</v>
      </c>
      <c r="Q16" s="875">
        <f>SUM(R16-S16)/S16</f>
        <v>0.14540758774189422</v>
      </c>
      <c r="R16" s="783">
        <f>+C16+H16+M16</f>
        <v>680324</v>
      </c>
      <c r="S16" s="783">
        <f t="shared" si="14"/>
        <v>593958</v>
      </c>
      <c r="T16" s="783">
        <f t="shared" si="9"/>
        <v>517865</v>
      </c>
      <c r="U16" s="783">
        <f t="shared" si="10"/>
        <v>338904</v>
      </c>
      <c r="V16" s="875">
        <f>SUM(W16-X16)/X16</f>
        <v>-0.2499955150514872</v>
      </c>
      <c r="W16" s="792">
        <f>SUM(W4:W10)</f>
        <v>167227</v>
      </c>
      <c r="X16" s="792">
        <f>SUM(X4:X10)</f>
        <v>222968</v>
      </c>
      <c r="Y16" s="792">
        <f>SUM(Y4:Y10)</f>
        <v>172048</v>
      </c>
      <c r="Z16" s="792">
        <f>SUM(Z4:Z10)</f>
        <v>141147</v>
      </c>
      <c r="AA16" s="875">
        <f>SUM(AB16-AC16)/AC16</f>
        <v>0.037488095616983665</v>
      </c>
      <c r="AB16" s="399">
        <f>+R16+W16</f>
        <v>847551</v>
      </c>
      <c r="AC16" s="399">
        <f t="shared" si="11"/>
        <v>816926</v>
      </c>
      <c r="AD16" s="399">
        <f>+T16+Y16</f>
        <v>689913</v>
      </c>
      <c r="AE16" s="400">
        <f>+U16+Z16</f>
        <v>480051</v>
      </c>
      <c r="AF16" s="875">
        <f>SUM(AG16-AH16)/AH16</f>
        <v>0.1988161962594361</v>
      </c>
      <c r="AG16" s="792">
        <f>SUM(AG4:AG10)</f>
        <v>7307510</v>
      </c>
      <c r="AH16" s="792">
        <f>SUM(AH4:AH10)</f>
        <v>6095605</v>
      </c>
      <c r="AI16" s="792">
        <f>SUM(AI4:AI10)</f>
        <v>5410466</v>
      </c>
      <c r="AJ16" s="792">
        <f>SUM(AJ4:AJ10)</f>
        <v>3494659</v>
      </c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</row>
    <row r="17" spans="1:46" s="3" customFormat="1" ht="12" thickBot="1">
      <c r="A17" s="784" t="s">
        <v>28</v>
      </c>
      <c r="B17" s="878">
        <f>SUM(C17-D17)/D17</f>
        <v>0.05561266811461955</v>
      </c>
      <c r="C17" s="785">
        <f>AVERAGE(C4:C15)</f>
        <v>57478.28571428572</v>
      </c>
      <c r="D17" s="785">
        <f>AVERAGE(D4:D15)</f>
        <v>54450.166666666664</v>
      </c>
      <c r="E17" s="785">
        <f>AVERAGE(E4:E15)</f>
        <v>49654.833333333336</v>
      </c>
      <c r="F17" s="785">
        <f>AVERAGE(F4:F15)</f>
        <v>34258.333333333336</v>
      </c>
      <c r="G17" s="878">
        <f>SUM(H17-I17)/I17</f>
        <v>0.22070503265924066</v>
      </c>
      <c r="H17" s="785">
        <f>AVERAGE(H4:H15)</f>
        <v>39710.857142857145</v>
      </c>
      <c r="I17" s="785">
        <f>AVERAGE(I4:I15)</f>
        <v>32531.083333333332</v>
      </c>
      <c r="J17" s="785">
        <f>AVERAGE(J4:J15)</f>
        <v>28485.833333333332</v>
      </c>
      <c r="K17" s="785">
        <f>AVERAGE(K4:K15)</f>
        <v>17295</v>
      </c>
      <c r="L17" s="878" t="e">
        <f>SUM(M17-N17)/N17</f>
        <v>#DIV/0!</v>
      </c>
      <c r="M17" s="785">
        <f>AVERAGE(M4:M15)</f>
        <v>0</v>
      </c>
      <c r="N17" s="1407">
        <f>AVERAGE(N4:N15)</f>
        <v>0</v>
      </c>
      <c r="O17" s="1407">
        <f>AVERAGE(O4:O15)</f>
        <v>0</v>
      </c>
      <c r="P17" s="1407">
        <f>AVERAGE(P4:P15)</f>
        <v>14.75</v>
      </c>
      <c r="Q17" s="878">
        <f>SUM(R17-S17)/S17</f>
        <v>0.11735739434812509</v>
      </c>
      <c r="R17" s="785">
        <f>AVERAGE(R4:R15)</f>
        <v>97189.14285714286</v>
      </c>
      <c r="S17" s="785">
        <f>AVERAGE(S4:S15)</f>
        <v>86981.25</v>
      </c>
      <c r="T17" s="785">
        <f>AVERAGE(T4:T15)</f>
        <v>78140.66666666667</v>
      </c>
      <c r="U17" s="785">
        <f>AVERAGE(U4:U15)</f>
        <v>51568.083333333336</v>
      </c>
      <c r="V17" s="878">
        <f>SUM(W17-X17)/X17</f>
        <v>-0.21965844570513968</v>
      </c>
      <c r="W17" s="785">
        <f>AVERAGE(W4:W15)</f>
        <v>23889.571428571428</v>
      </c>
      <c r="X17" s="785">
        <f>AVERAGE(X4:X15)</f>
        <v>30614.25</v>
      </c>
      <c r="Y17" s="785">
        <f>AVERAGE(Y4:Y15)</f>
        <v>25995.166666666668</v>
      </c>
      <c r="Z17" s="785">
        <f>AVERAGE(Z4:Z15)</f>
        <v>21146</v>
      </c>
      <c r="AA17" s="878">
        <f>SUM(AB17-AC17)/AC17</f>
        <v>0.029620302526153552</v>
      </c>
      <c r="AB17" s="785">
        <f>AVERAGE(AB4:AB15)</f>
        <v>121078.71428571429</v>
      </c>
      <c r="AC17" s="785">
        <f>AVERAGE(AC4:AC15)</f>
        <v>117595.5</v>
      </c>
      <c r="AD17" s="785">
        <f>AVERAGE(AD4:AD15)</f>
        <v>104135.83333333333</v>
      </c>
      <c r="AE17" s="786">
        <f>AVERAGE(AE4:AE15)</f>
        <v>72714.08333333333</v>
      </c>
      <c r="AF17" s="878">
        <f>SUM(AG17-AH17)/AH17</f>
        <v>0.15428673785982658</v>
      </c>
      <c r="AG17" s="785">
        <f>AVERAGE(AG4:AG15)</f>
        <v>1043930</v>
      </c>
      <c r="AH17" s="785">
        <f>AVERAGE(AH4:AH15)</f>
        <v>904394</v>
      </c>
      <c r="AI17" s="785">
        <f>AVERAGE(AI4:AI15)</f>
        <v>813949.3333333334</v>
      </c>
      <c r="AJ17" s="786">
        <f>AVERAGE(AJ4:AJ15)</f>
        <v>526436.9166666666</v>
      </c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</row>
    <row r="19" spans="3:34" s="618" customFormat="1" ht="11.25">
      <c r="C19" s="618">
        <v>402348</v>
      </c>
      <c r="D19" s="618">
        <v>373156</v>
      </c>
      <c r="H19" s="618">
        <v>277976</v>
      </c>
      <c r="I19" s="618">
        <v>220802</v>
      </c>
      <c r="W19" s="618">
        <v>167227</v>
      </c>
      <c r="X19" s="618">
        <v>222968</v>
      </c>
      <c r="AB19" s="618">
        <f>SUM(AB4:AB12)</f>
        <v>847551</v>
      </c>
      <c r="AC19" s="618">
        <f>SUM(AC4:AC12)</f>
        <v>1067030</v>
      </c>
      <c r="AG19" s="618">
        <v>7307510</v>
      </c>
      <c r="AH19" s="618">
        <v>6095605</v>
      </c>
    </row>
    <row r="20" spans="3:34" s="618" customFormat="1" ht="11.25">
      <c r="C20" s="618">
        <f>+C19-C16</f>
        <v>0</v>
      </c>
      <c r="D20" s="618">
        <f>+D19-D16</f>
        <v>0</v>
      </c>
      <c r="H20" s="618">
        <f>+H19-H16</f>
        <v>0</v>
      </c>
      <c r="I20" s="618">
        <f>+I19-I16</f>
        <v>0</v>
      </c>
      <c r="W20" s="618">
        <f>+W19-W16</f>
        <v>0</v>
      </c>
      <c r="X20" s="618">
        <f>+X19-X16</f>
        <v>0</v>
      </c>
      <c r="AG20" s="618">
        <f>+AG19-AG16</f>
        <v>0</v>
      </c>
      <c r="AH20" s="618">
        <f>+AH19-AH16</f>
        <v>0</v>
      </c>
    </row>
  </sheetData>
  <mergeCells count="10">
    <mergeCell ref="A1:A2"/>
    <mergeCell ref="B1:E1"/>
    <mergeCell ref="AC1:AJ1"/>
    <mergeCell ref="B3:F3"/>
    <mergeCell ref="G3:K3"/>
    <mergeCell ref="Q3:U3"/>
    <mergeCell ref="V3:Z3"/>
    <mergeCell ref="AA3:AE3"/>
    <mergeCell ref="AF3:AJ3"/>
    <mergeCell ref="L3:P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"/>
  <sheetViews>
    <sheetView workbookViewId="0" topLeftCell="A2">
      <pane xSplit="1" ySplit="2" topLeftCell="Z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A14" sqref="AA14"/>
    </sheetView>
  </sheetViews>
  <sheetFormatPr defaultColWidth="9.140625" defaultRowHeight="12.75"/>
  <cols>
    <col min="1" max="1" width="16.00390625" style="0" customWidth="1"/>
    <col min="2" max="2" width="5.8515625" style="0" customWidth="1"/>
    <col min="3" max="6" width="6.57421875" style="0" customWidth="1"/>
    <col min="7" max="7" width="5.28125" style="0" customWidth="1"/>
    <col min="8" max="9" width="7.421875" style="0" customWidth="1"/>
    <col min="10" max="11" width="6.57421875" style="0" customWidth="1"/>
    <col min="12" max="12" width="6.140625" style="0" customWidth="1"/>
    <col min="13" max="16" width="4.421875" style="0" customWidth="1"/>
    <col min="17" max="17" width="5.28125" style="0" customWidth="1"/>
    <col min="18" max="21" width="6.57421875" style="0" customWidth="1"/>
    <col min="22" max="22" width="5.28125" style="0" customWidth="1"/>
    <col min="23" max="26" width="6.57421875" style="0" customWidth="1"/>
    <col min="27" max="27" width="5.28125" style="0" customWidth="1"/>
    <col min="28" max="31" width="6.57421875" style="0" customWidth="1"/>
    <col min="32" max="32" width="5.28125" style="0" customWidth="1"/>
    <col min="33" max="36" width="8.7109375" style="0" customWidth="1"/>
  </cols>
  <sheetData>
    <row r="1" spans="1:36" s="749" customFormat="1" ht="13.5" thickBot="1">
      <c r="A1" s="1901" t="s">
        <v>159</v>
      </c>
      <c r="B1" s="1903"/>
      <c r="C1" s="1904"/>
      <c r="D1" s="1904"/>
      <c r="E1" s="1905"/>
      <c r="F1" s="244"/>
      <c r="G1" s="271"/>
      <c r="H1" s="271"/>
      <c r="I1" s="271"/>
      <c r="J1" s="271"/>
      <c r="K1" s="271"/>
      <c r="L1" s="271"/>
      <c r="M1" s="301"/>
      <c r="N1" s="301"/>
      <c r="O1" s="301"/>
      <c r="P1" s="301"/>
      <c r="Q1" s="244"/>
      <c r="R1" s="386"/>
      <c r="S1" s="386"/>
      <c r="T1" s="386"/>
      <c r="U1" s="386"/>
      <c r="V1" s="244"/>
      <c r="W1" s="386"/>
      <c r="X1" s="386"/>
      <c r="Y1" s="301"/>
      <c r="Z1" s="301"/>
      <c r="AA1" s="271"/>
      <c r="AB1" s="271"/>
      <c r="AC1" s="1906"/>
      <c r="AD1" s="1907"/>
      <c r="AE1" s="1907"/>
      <c r="AF1" s="1907"/>
      <c r="AG1" s="1907"/>
      <c r="AH1" s="1907"/>
      <c r="AI1" s="1907"/>
      <c r="AJ1" s="1908"/>
    </row>
    <row r="2" spans="1:36" s="749" customFormat="1" ht="34.5" thickBot="1">
      <c r="A2" s="1902"/>
      <c r="B2" s="554" t="s">
        <v>179</v>
      </c>
      <c r="C2" s="466">
        <v>2008</v>
      </c>
      <c r="D2" s="466">
        <v>2007</v>
      </c>
      <c r="E2" s="466">
        <v>2006</v>
      </c>
      <c r="F2" s="466">
        <v>2005</v>
      </c>
      <c r="G2" s="496" t="s">
        <v>179</v>
      </c>
      <c r="H2" s="112">
        <v>2008</v>
      </c>
      <c r="I2" s="112">
        <v>2007</v>
      </c>
      <c r="J2" s="112">
        <v>2006</v>
      </c>
      <c r="K2" s="112">
        <v>2005</v>
      </c>
      <c r="L2" s="1082" t="s">
        <v>179</v>
      </c>
      <c r="M2" s="619">
        <v>2008</v>
      </c>
      <c r="N2" s="619">
        <v>2007</v>
      </c>
      <c r="O2" s="619">
        <v>2006</v>
      </c>
      <c r="P2" s="619">
        <v>2005</v>
      </c>
      <c r="Q2" s="331" t="s">
        <v>179</v>
      </c>
      <c r="R2" s="177">
        <v>2008</v>
      </c>
      <c r="S2" s="177">
        <v>2007</v>
      </c>
      <c r="T2" s="177">
        <v>2006</v>
      </c>
      <c r="U2" s="177">
        <v>2005</v>
      </c>
      <c r="V2" s="460" t="s">
        <v>179</v>
      </c>
      <c r="W2" s="130">
        <v>2008</v>
      </c>
      <c r="X2" s="130">
        <v>2007</v>
      </c>
      <c r="Y2" s="130">
        <v>2006</v>
      </c>
      <c r="Z2" s="130">
        <v>2005</v>
      </c>
      <c r="AA2" s="501" t="s">
        <v>179</v>
      </c>
      <c r="AB2" s="114">
        <v>2008</v>
      </c>
      <c r="AC2" s="114">
        <v>2007</v>
      </c>
      <c r="AD2" s="114">
        <v>2006</v>
      </c>
      <c r="AE2" s="114">
        <v>2005</v>
      </c>
      <c r="AF2" s="568" t="s">
        <v>179</v>
      </c>
      <c r="AG2" s="569">
        <v>2008</v>
      </c>
      <c r="AH2" s="569">
        <v>2007</v>
      </c>
      <c r="AI2" s="569">
        <v>2006</v>
      </c>
      <c r="AJ2" s="570">
        <v>2005</v>
      </c>
    </row>
    <row r="3" spans="1:36" s="749" customFormat="1" ht="13.5" thickBot="1">
      <c r="A3" s="309"/>
      <c r="B3" s="1894" t="s">
        <v>100</v>
      </c>
      <c r="C3" s="1895"/>
      <c r="D3" s="1895"/>
      <c r="E3" s="1895"/>
      <c r="F3" s="1895"/>
      <c r="G3" s="1896" t="s">
        <v>69</v>
      </c>
      <c r="H3" s="1896"/>
      <c r="I3" s="1896"/>
      <c r="J3" s="1896"/>
      <c r="K3" s="1896"/>
      <c r="L3" s="1890" t="s">
        <v>88</v>
      </c>
      <c r="M3" s="1896"/>
      <c r="N3" s="1896"/>
      <c r="O3" s="1896"/>
      <c r="P3" s="1896"/>
      <c r="Q3" s="1891" t="s">
        <v>71</v>
      </c>
      <c r="R3" s="1892"/>
      <c r="S3" s="1892"/>
      <c r="T3" s="1892"/>
      <c r="U3" s="1892"/>
      <c r="V3" s="1890" t="s">
        <v>49</v>
      </c>
      <c r="W3" s="1896"/>
      <c r="X3" s="1896"/>
      <c r="Y3" s="1896"/>
      <c r="Z3" s="1896"/>
      <c r="AA3" s="1890" t="s">
        <v>116</v>
      </c>
      <c r="AB3" s="1896"/>
      <c r="AC3" s="1896"/>
      <c r="AD3" s="1896"/>
      <c r="AE3" s="1896"/>
      <c r="AF3" s="1893" t="s">
        <v>143</v>
      </c>
      <c r="AG3" s="1884"/>
      <c r="AH3" s="1885"/>
      <c r="AI3" s="1885"/>
      <c r="AJ3" s="1886"/>
    </row>
    <row r="4" spans="1:36" s="749" customFormat="1" ht="12.75">
      <c r="A4" s="750" t="s">
        <v>13</v>
      </c>
      <c r="B4" s="751">
        <f aca="true" t="shared" si="0" ref="B4:B10">SUM(C4-D4)/D4</f>
        <v>-0.16630890319942757</v>
      </c>
      <c r="C4" s="752">
        <v>8156</v>
      </c>
      <c r="D4" s="752">
        <v>9783</v>
      </c>
      <c r="E4" s="752">
        <v>9073</v>
      </c>
      <c r="F4" s="753">
        <v>8308</v>
      </c>
      <c r="G4" s="754">
        <f aca="true" t="shared" si="1" ref="G4:G10">SUM(H4-I4)/I4</f>
        <v>-0.019911063914515165</v>
      </c>
      <c r="H4" s="755">
        <v>14767</v>
      </c>
      <c r="I4" s="755">
        <v>15067</v>
      </c>
      <c r="J4" s="755">
        <v>10389</v>
      </c>
      <c r="K4" s="755">
        <v>9795</v>
      </c>
      <c r="L4" s="1067" t="e">
        <f>SUM(M4-N4)/N4</f>
        <v>#DIV/0!</v>
      </c>
      <c r="M4" s="620">
        <v>0</v>
      </c>
      <c r="N4" s="620">
        <v>0</v>
      </c>
      <c r="O4" s="620">
        <v>0</v>
      </c>
      <c r="P4" s="620">
        <v>0</v>
      </c>
      <c r="Q4" s="756">
        <f aca="true" t="shared" si="2" ref="Q4:Q10">SUM(R4-S4)/S4</f>
        <v>-0.07754527162977867</v>
      </c>
      <c r="R4" s="757">
        <f>+C4+H4+M4</f>
        <v>22923</v>
      </c>
      <c r="S4" s="757">
        <f>+D4+I4+N4</f>
        <v>24850</v>
      </c>
      <c r="T4" s="757">
        <f>+E4+J4+O4</f>
        <v>19462</v>
      </c>
      <c r="U4" s="1336">
        <f>+F4+K4+P4</f>
        <v>18103</v>
      </c>
      <c r="V4" s="758">
        <f>SUM(W4-Y4)/Y4</f>
        <v>-0.09289855072463768</v>
      </c>
      <c r="W4" s="550">
        <v>6259</v>
      </c>
      <c r="X4" s="550">
        <v>6689</v>
      </c>
      <c r="Y4" s="550">
        <v>6900</v>
      </c>
      <c r="Z4" s="1084">
        <v>5662</v>
      </c>
      <c r="AA4" s="759">
        <f aca="true" t="shared" si="3" ref="AA4:AA10">SUM(AB4-AC4)/AC4</f>
        <v>-0.07473287041440756</v>
      </c>
      <c r="AB4" s="197">
        <f>+R4+W4</f>
        <v>29182</v>
      </c>
      <c r="AC4" s="197">
        <f>+S4+X4</f>
        <v>31539</v>
      </c>
      <c r="AD4" s="197">
        <f aca="true" t="shared" si="4" ref="AD4:AD15">+T4+Z4</f>
        <v>25124</v>
      </c>
      <c r="AE4" s="198">
        <f aca="true" t="shared" si="5" ref="AE4:AE15">+U4+AA4</f>
        <v>18102.925267129587</v>
      </c>
      <c r="AF4" s="1339">
        <f aca="true" t="shared" si="6" ref="AF4:AF10">SUM(AG4-AH4)/AH4</f>
        <v>-0.04710460311507616</v>
      </c>
      <c r="AG4" s="760">
        <v>276960</v>
      </c>
      <c r="AH4" s="760">
        <v>290651</v>
      </c>
      <c r="AI4" s="760">
        <v>230280</v>
      </c>
      <c r="AJ4" s="761">
        <v>224953</v>
      </c>
    </row>
    <row r="5" spans="1:36" s="749" customFormat="1" ht="12.75">
      <c r="A5" s="762" t="s">
        <v>14</v>
      </c>
      <c r="B5" s="763">
        <f t="shared" si="0"/>
        <v>-0.11120471777590564</v>
      </c>
      <c r="C5" s="352">
        <v>8440</v>
      </c>
      <c r="D5" s="352">
        <v>9496</v>
      </c>
      <c r="E5" s="352">
        <v>8451</v>
      </c>
      <c r="F5" s="737">
        <v>7936</v>
      </c>
      <c r="G5" s="764">
        <f t="shared" si="1"/>
        <v>0.23048048048048048</v>
      </c>
      <c r="H5" s="353">
        <v>18029</v>
      </c>
      <c r="I5" s="353">
        <v>14652</v>
      </c>
      <c r="J5" s="353">
        <v>11780</v>
      </c>
      <c r="K5" s="353">
        <v>9394</v>
      </c>
      <c r="L5" s="1069"/>
      <c r="M5" s="621">
        <v>0</v>
      </c>
      <c r="N5" s="621">
        <v>0</v>
      </c>
      <c r="O5" s="621">
        <v>0</v>
      </c>
      <c r="P5" s="621">
        <v>0</v>
      </c>
      <c r="Q5" s="765">
        <f t="shared" si="2"/>
        <v>0.09611562034122909</v>
      </c>
      <c r="R5" s="766">
        <f aca="true" t="shared" si="7" ref="R5:U10">+C5+H5+M5</f>
        <v>26469</v>
      </c>
      <c r="S5" s="766">
        <f t="shared" si="7"/>
        <v>24148</v>
      </c>
      <c r="T5" s="766">
        <f t="shared" si="7"/>
        <v>20231</v>
      </c>
      <c r="U5" s="1337">
        <f t="shared" si="7"/>
        <v>17330</v>
      </c>
      <c r="V5" s="767">
        <f aca="true" t="shared" si="8" ref="V5:V10">SUM(W5-X5)/X5</f>
        <v>0.20755813953488372</v>
      </c>
      <c r="W5" s="329">
        <v>8308</v>
      </c>
      <c r="X5" s="329">
        <v>6880</v>
      </c>
      <c r="Y5" s="329">
        <v>4640</v>
      </c>
      <c r="Z5" s="1085">
        <v>3638</v>
      </c>
      <c r="AA5" s="768">
        <f t="shared" si="3"/>
        <v>0.12082635039319324</v>
      </c>
      <c r="AB5" s="121">
        <f>+R5+W5</f>
        <v>34777</v>
      </c>
      <c r="AC5" s="121">
        <f>+S5+X5</f>
        <v>31028</v>
      </c>
      <c r="AD5" s="121">
        <f t="shared" si="4"/>
        <v>23869</v>
      </c>
      <c r="AE5" s="122">
        <f t="shared" si="5"/>
        <v>17330.120826350394</v>
      </c>
      <c r="AF5" s="1340">
        <f t="shared" si="6"/>
        <v>0.1319180227113088</v>
      </c>
      <c r="AG5" s="481">
        <v>309403</v>
      </c>
      <c r="AH5" s="481">
        <v>273344</v>
      </c>
      <c r="AI5" s="481">
        <v>227483</v>
      </c>
      <c r="AJ5" s="769">
        <v>210035</v>
      </c>
    </row>
    <row r="6" spans="1:36" s="749" customFormat="1" ht="12.75">
      <c r="A6" s="762" t="s">
        <v>15</v>
      </c>
      <c r="B6" s="763">
        <f t="shared" si="0"/>
        <v>-0.059876543209876544</v>
      </c>
      <c r="C6" s="352">
        <v>10661</v>
      </c>
      <c r="D6" s="352">
        <v>11340</v>
      </c>
      <c r="E6" s="352">
        <v>8381</v>
      </c>
      <c r="F6" s="737">
        <v>9549</v>
      </c>
      <c r="G6" s="764">
        <f t="shared" si="1"/>
        <v>-0.03918761268427193</v>
      </c>
      <c r="H6" s="353">
        <v>18119</v>
      </c>
      <c r="I6" s="353">
        <v>18858</v>
      </c>
      <c r="J6" s="353">
        <v>12041</v>
      </c>
      <c r="K6" s="353">
        <v>12994</v>
      </c>
      <c r="L6" s="1069"/>
      <c r="M6" s="621">
        <v>0</v>
      </c>
      <c r="N6" s="621">
        <v>0</v>
      </c>
      <c r="O6" s="621">
        <v>0</v>
      </c>
      <c r="P6" s="621">
        <v>0</v>
      </c>
      <c r="Q6" s="765">
        <f t="shared" si="2"/>
        <v>-0.04695675210278826</v>
      </c>
      <c r="R6" s="766">
        <f>+C6+H6+M6</f>
        <v>28780</v>
      </c>
      <c r="S6" s="766">
        <f t="shared" si="7"/>
        <v>30198</v>
      </c>
      <c r="T6" s="766">
        <f t="shared" si="7"/>
        <v>20422</v>
      </c>
      <c r="U6" s="1337">
        <f t="shared" si="7"/>
        <v>22543</v>
      </c>
      <c r="V6" s="767">
        <f t="shared" si="8"/>
        <v>0.39339875111507583</v>
      </c>
      <c r="W6" s="329">
        <v>10934</v>
      </c>
      <c r="X6" s="329">
        <v>7847</v>
      </c>
      <c r="Y6" s="329">
        <v>5614</v>
      </c>
      <c r="Z6" s="1085">
        <v>5963</v>
      </c>
      <c r="AA6" s="768">
        <f t="shared" si="3"/>
        <v>0.043869102378761994</v>
      </c>
      <c r="AB6" s="121">
        <f>+R6+W6</f>
        <v>39714</v>
      </c>
      <c r="AC6" s="121">
        <f aca="true" t="shared" si="9" ref="AC6:AC15">+S6+X6</f>
        <v>38045</v>
      </c>
      <c r="AD6" s="121">
        <f t="shared" si="4"/>
        <v>26385</v>
      </c>
      <c r="AE6" s="122">
        <f t="shared" si="5"/>
        <v>22543.043869102377</v>
      </c>
      <c r="AF6" s="1340">
        <f t="shared" si="6"/>
        <v>-0.04107048224695284</v>
      </c>
      <c r="AG6" s="481">
        <v>340186</v>
      </c>
      <c r="AH6" s="481">
        <v>354756</v>
      </c>
      <c r="AI6" s="481">
        <v>228071</v>
      </c>
      <c r="AJ6" s="769">
        <v>266476</v>
      </c>
    </row>
    <row r="7" spans="1:36" s="749" customFormat="1" ht="12.75">
      <c r="A7" s="762" t="s">
        <v>16</v>
      </c>
      <c r="B7" s="763">
        <f t="shared" si="0"/>
        <v>-0.0638477801268499</v>
      </c>
      <c r="C7" s="352">
        <v>8856</v>
      </c>
      <c r="D7" s="352">
        <v>9460</v>
      </c>
      <c r="E7" s="352">
        <v>10264</v>
      </c>
      <c r="F7" s="737">
        <v>9507</v>
      </c>
      <c r="G7" s="764">
        <f t="shared" si="1"/>
        <v>0.1895728396676915</v>
      </c>
      <c r="H7" s="353">
        <v>18185</v>
      </c>
      <c r="I7" s="353">
        <v>15287</v>
      </c>
      <c r="J7" s="353">
        <v>12712</v>
      </c>
      <c r="K7" s="353">
        <v>11937</v>
      </c>
      <c r="L7" s="1069"/>
      <c r="M7" s="621">
        <v>0</v>
      </c>
      <c r="N7" s="621">
        <v>0</v>
      </c>
      <c r="O7" s="621">
        <v>0</v>
      </c>
      <c r="P7" s="621">
        <v>0</v>
      </c>
      <c r="Q7" s="765">
        <f t="shared" si="2"/>
        <v>0.09269810482078636</v>
      </c>
      <c r="R7" s="766">
        <f>+C7+H7+M7</f>
        <v>27041</v>
      </c>
      <c r="S7" s="766">
        <f t="shared" si="7"/>
        <v>24747</v>
      </c>
      <c r="T7" s="766">
        <f t="shared" si="7"/>
        <v>22976</v>
      </c>
      <c r="U7" s="1337">
        <f t="shared" si="7"/>
        <v>21444</v>
      </c>
      <c r="V7" s="767">
        <f t="shared" si="8"/>
        <v>0.5582633053221289</v>
      </c>
      <c r="W7" s="329">
        <v>11126</v>
      </c>
      <c r="X7" s="329">
        <v>7140</v>
      </c>
      <c r="Y7" s="329">
        <v>5460</v>
      </c>
      <c r="Z7" s="1085">
        <v>5080</v>
      </c>
      <c r="AA7" s="768">
        <f t="shared" si="3"/>
        <v>0.19694546366857968</v>
      </c>
      <c r="AB7" s="121">
        <f>+R7+W7</f>
        <v>38167</v>
      </c>
      <c r="AC7" s="121">
        <f t="shared" si="9"/>
        <v>31887</v>
      </c>
      <c r="AD7" s="121">
        <f t="shared" si="4"/>
        <v>28056</v>
      </c>
      <c r="AE7" s="122">
        <f t="shared" si="5"/>
        <v>21444.196945463667</v>
      </c>
      <c r="AF7" s="1340">
        <f t="shared" si="6"/>
        <v>0.13276213037896573</v>
      </c>
      <c r="AG7" s="481">
        <v>319414</v>
      </c>
      <c r="AH7" s="481">
        <v>281978</v>
      </c>
      <c r="AI7" s="481">
        <v>277963</v>
      </c>
      <c r="AJ7" s="769">
        <v>249822</v>
      </c>
    </row>
    <row r="8" spans="1:36" s="749" customFormat="1" ht="12.75">
      <c r="A8" s="762" t="s">
        <v>17</v>
      </c>
      <c r="B8" s="763">
        <f t="shared" si="0"/>
        <v>0.059135399673735725</v>
      </c>
      <c r="C8" s="352">
        <v>10388</v>
      </c>
      <c r="D8" s="352">
        <v>9808</v>
      </c>
      <c r="E8" s="352">
        <v>10002</v>
      </c>
      <c r="F8" s="737">
        <v>8664</v>
      </c>
      <c r="G8" s="764">
        <f t="shared" si="1"/>
        <v>0.2501956181533646</v>
      </c>
      <c r="H8" s="353">
        <v>19173</v>
      </c>
      <c r="I8" s="353">
        <v>15336</v>
      </c>
      <c r="J8" s="353">
        <v>13355</v>
      </c>
      <c r="K8" s="353">
        <v>10750</v>
      </c>
      <c r="L8" s="1069"/>
      <c r="M8" s="621">
        <v>0</v>
      </c>
      <c r="N8" s="621">
        <v>0</v>
      </c>
      <c r="O8" s="621">
        <v>0</v>
      </c>
      <c r="P8" s="621">
        <v>0</v>
      </c>
      <c r="Q8" s="765">
        <f t="shared" si="2"/>
        <v>0.17566815144766146</v>
      </c>
      <c r="R8" s="766">
        <f>+C8+H8+M8</f>
        <v>29561</v>
      </c>
      <c r="S8" s="766">
        <f t="shared" si="7"/>
        <v>25144</v>
      </c>
      <c r="T8" s="766">
        <f t="shared" si="7"/>
        <v>23357</v>
      </c>
      <c r="U8" s="1337">
        <f t="shared" si="7"/>
        <v>19414</v>
      </c>
      <c r="V8" s="767">
        <f t="shared" si="8"/>
        <v>0.15279166071683564</v>
      </c>
      <c r="W8" s="329">
        <v>8073</v>
      </c>
      <c r="X8" s="329">
        <v>7003</v>
      </c>
      <c r="Y8" s="329">
        <v>7206</v>
      </c>
      <c r="Z8" s="1085">
        <v>4908</v>
      </c>
      <c r="AA8" s="768">
        <f t="shared" si="3"/>
        <v>0.17068466730954676</v>
      </c>
      <c r="AB8" s="121">
        <f>+R8+W8</f>
        <v>37634</v>
      </c>
      <c r="AC8" s="121">
        <f t="shared" si="9"/>
        <v>32147</v>
      </c>
      <c r="AD8" s="121">
        <f t="shared" si="4"/>
        <v>28265</v>
      </c>
      <c r="AE8" s="122">
        <f t="shared" si="5"/>
        <v>19414.170684667308</v>
      </c>
      <c r="AF8" s="1340">
        <f t="shared" si="6"/>
        <v>0.22133243100985037</v>
      </c>
      <c r="AG8" s="481">
        <v>357335</v>
      </c>
      <c r="AH8" s="481">
        <v>292578</v>
      </c>
      <c r="AI8" s="481">
        <v>269765</v>
      </c>
      <c r="AJ8" s="769">
        <v>221520</v>
      </c>
    </row>
    <row r="9" spans="1:36" s="749" customFormat="1" ht="12.75">
      <c r="A9" s="762" t="s">
        <v>18</v>
      </c>
      <c r="B9" s="763">
        <f t="shared" si="0"/>
        <v>-0.038676159322686164</v>
      </c>
      <c r="C9" s="737">
        <v>9992</v>
      </c>
      <c r="D9" s="737">
        <v>10394</v>
      </c>
      <c r="E9" s="737">
        <v>9905</v>
      </c>
      <c r="F9" s="737">
        <v>9623</v>
      </c>
      <c r="G9" s="764">
        <f t="shared" si="1"/>
        <v>0.21307173951935118</v>
      </c>
      <c r="H9" s="541">
        <v>20342</v>
      </c>
      <c r="I9" s="541">
        <v>16769</v>
      </c>
      <c r="J9" s="541">
        <v>12930</v>
      </c>
      <c r="K9" s="541">
        <v>12422</v>
      </c>
      <c r="L9" s="1069"/>
      <c r="M9" s="621">
        <v>0</v>
      </c>
      <c r="N9" s="621">
        <v>0</v>
      </c>
      <c r="O9" s="621">
        <v>0</v>
      </c>
      <c r="P9" s="621">
        <v>0</v>
      </c>
      <c r="Q9" s="765">
        <f t="shared" si="2"/>
        <v>0.11673968265655488</v>
      </c>
      <c r="R9" s="766">
        <f>+C9+H9+M9</f>
        <v>30334</v>
      </c>
      <c r="S9" s="766">
        <f t="shared" si="7"/>
        <v>27163</v>
      </c>
      <c r="T9" s="766">
        <f t="shared" si="7"/>
        <v>22835</v>
      </c>
      <c r="U9" s="1337">
        <f t="shared" si="7"/>
        <v>22045</v>
      </c>
      <c r="V9" s="767">
        <f t="shared" si="8"/>
        <v>0.5702805376972531</v>
      </c>
      <c r="W9" s="329">
        <v>10747</v>
      </c>
      <c r="X9" s="329">
        <v>6844</v>
      </c>
      <c r="Y9" s="328">
        <v>4787</v>
      </c>
      <c r="Z9" s="952">
        <v>6412</v>
      </c>
      <c r="AA9" s="768">
        <f t="shared" si="3"/>
        <v>0.2080159967065604</v>
      </c>
      <c r="AB9" s="121">
        <f>+R9+W9</f>
        <v>41081</v>
      </c>
      <c r="AC9" s="121">
        <f t="shared" si="9"/>
        <v>34007</v>
      </c>
      <c r="AD9" s="121">
        <f t="shared" si="4"/>
        <v>29247</v>
      </c>
      <c r="AE9" s="122">
        <f t="shared" si="5"/>
        <v>22045.208015996708</v>
      </c>
      <c r="AF9" s="1340">
        <f t="shared" si="6"/>
        <v>0.08374540282498583</v>
      </c>
      <c r="AG9" s="770">
        <v>342120</v>
      </c>
      <c r="AH9" s="770">
        <v>315683</v>
      </c>
      <c r="AI9" s="770">
        <v>255242</v>
      </c>
      <c r="AJ9" s="769">
        <v>252967</v>
      </c>
    </row>
    <row r="10" spans="1:36" s="749" customFormat="1" ht="12.75">
      <c r="A10" s="762" t="s">
        <v>19</v>
      </c>
      <c r="B10" s="763">
        <f t="shared" si="0"/>
        <v>-0.03292062577982532</v>
      </c>
      <c r="C10" s="737">
        <v>10076</v>
      </c>
      <c r="D10" s="737">
        <v>10419</v>
      </c>
      <c r="E10" s="737">
        <v>9962</v>
      </c>
      <c r="F10" s="737">
        <v>11917</v>
      </c>
      <c r="G10" s="764">
        <f t="shared" si="1"/>
        <v>0.06944862004690036</v>
      </c>
      <c r="H10" s="541">
        <v>17786</v>
      </c>
      <c r="I10" s="541">
        <v>16631</v>
      </c>
      <c r="J10" s="541">
        <v>12517</v>
      </c>
      <c r="K10" s="541">
        <v>12252</v>
      </c>
      <c r="L10" s="1069"/>
      <c r="M10" s="621">
        <v>0</v>
      </c>
      <c r="N10" s="621">
        <v>0</v>
      </c>
      <c r="O10" s="621">
        <v>0</v>
      </c>
      <c r="P10" s="621">
        <v>0</v>
      </c>
      <c r="Q10" s="765">
        <f t="shared" si="2"/>
        <v>0.030018484288354897</v>
      </c>
      <c r="R10" s="766">
        <f>+C10+H10+M10</f>
        <v>27862</v>
      </c>
      <c r="S10" s="766">
        <f t="shared" si="7"/>
        <v>27050</v>
      </c>
      <c r="T10" s="766">
        <f t="shared" si="7"/>
        <v>22479</v>
      </c>
      <c r="U10" s="1337">
        <f t="shared" si="7"/>
        <v>24169</v>
      </c>
      <c r="V10" s="767">
        <f t="shared" si="8"/>
        <v>0.04128792027160223</v>
      </c>
      <c r="W10" s="329">
        <v>9508</v>
      </c>
      <c r="X10" s="329">
        <v>9131</v>
      </c>
      <c r="Y10" s="328">
        <v>7111</v>
      </c>
      <c r="Z10" s="952">
        <v>6484</v>
      </c>
      <c r="AA10" s="768">
        <f t="shared" si="3"/>
        <v>0.03286255216826511</v>
      </c>
      <c r="AB10" s="121">
        <f>+R10+W10</f>
        <v>37370</v>
      </c>
      <c r="AC10" s="121">
        <f t="shared" si="9"/>
        <v>36181</v>
      </c>
      <c r="AD10" s="121">
        <f t="shared" si="4"/>
        <v>28963</v>
      </c>
      <c r="AE10" s="122">
        <f t="shared" si="5"/>
        <v>24169.03286255217</v>
      </c>
      <c r="AF10" s="1340">
        <f t="shared" si="6"/>
        <v>-0.03492314335853876</v>
      </c>
      <c r="AG10" s="770">
        <v>315114</v>
      </c>
      <c r="AH10" s="770">
        <v>326517</v>
      </c>
      <c r="AI10" s="770">
        <v>250862</v>
      </c>
      <c r="AJ10" s="769">
        <v>281232</v>
      </c>
    </row>
    <row r="11" spans="1:36" s="749" customFormat="1" ht="12.75">
      <c r="A11" s="762" t="s">
        <v>20</v>
      </c>
      <c r="B11" s="763"/>
      <c r="C11" s="737"/>
      <c r="D11" s="737">
        <v>9984</v>
      </c>
      <c r="E11" s="737">
        <v>9178</v>
      </c>
      <c r="F11" s="737">
        <v>9730</v>
      </c>
      <c r="G11" s="764"/>
      <c r="H11" s="541"/>
      <c r="I11" s="541">
        <v>16490</v>
      </c>
      <c r="J11" s="541">
        <v>14049</v>
      </c>
      <c r="K11" s="541">
        <v>11789</v>
      </c>
      <c r="L11" s="1069"/>
      <c r="M11" s="621"/>
      <c r="N11" s="621">
        <v>0</v>
      </c>
      <c r="O11" s="621">
        <v>0</v>
      </c>
      <c r="P11" s="621">
        <v>0</v>
      </c>
      <c r="Q11" s="765"/>
      <c r="R11" s="766"/>
      <c r="S11" s="766">
        <f aca="true" t="shared" si="10" ref="R11:S16">+D11+I11+N11</f>
        <v>26474</v>
      </c>
      <c r="T11" s="766">
        <f aca="true" t="shared" si="11" ref="T11:U16">+E11+J11+O11</f>
        <v>23227</v>
      </c>
      <c r="U11" s="1337">
        <f t="shared" si="11"/>
        <v>21519</v>
      </c>
      <c r="V11" s="767"/>
      <c r="W11" s="329"/>
      <c r="X11" s="329">
        <v>6863</v>
      </c>
      <c r="Y11" s="328">
        <v>6304</v>
      </c>
      <c r="Z11" s="952">
        <v>6383</v>
      </c>
      <c r="AA11" s="768"/>
      <c r="AB11" s="121"/>
      <c r="AC11" s="121">
        <f t="shared" si="9"/>
        <v>33337</v>
      </c>
      <c r="AD11" s="121">
        <f t="shared" si="4"/>
        <v>29610</v>
      </c>
      <c r="AE11" s="122">
        <f t="shared" si="5"/>
        <v>21519</v>
      </c>
      <c r="AF11" s="1340"/>
      <c r="AG11" s="770"/>
      <c r="AH11" s="770">
        <v>308262</v>
      </c>
      <c r="AI11" s="770">
        <v>248828</v>
      </c>
      <c r="AJ11" s="769">
        <v>253127</v>
      </c>
    </row>
    <row r="12" spans="1:36" s="749" customFormat="1" ht="12.75">
      <c r="A12" s="762" t="s">
        <v>21</v>
      </c>
      <c r="B12" s="763"/>
      <c r="C12" s="737"/>
      <c r="D12" s="737">
        <v>10644</v>
      </c>
      <c r="E12" s="737">
        <v>9931</v>
      </c>
      <c r="F12" s="737">
        <v>9548</v>
      </c>
      <c r="G12" s="764"/>
      <c r="H12" s="541"/>
      <c r="I12" s="541">
        <v>16769</v>
      </c>
      <c r="J12" s="541">
        <v>14721</v>
      </c>
      <c r="K12" s="541">
        <v>12437</v>
      </c>
      <c r="L12" s="1069"/>
      <c r="M12" s="621"/>
      <c r="N12" s="621">
        <v>0</v>
      </c>
      <c r="O12" s="621">
        <v>0</v>
      </c>
      <c r="P12" s="621">
        <v>0</v>
      </c>
      <c r="Q12" s="765"/>
      <c r="R12" s="766"/>
      <c r="S12" s="766">
        <f t="shared" si="10"/>
        <v>27413</v>
      </c>
      <c r="T12" s="766">
        <f t="shared" si="11"/>
        <v>24652</v>
      </c>
      <c r="U12" s="1337">
        <f t="shared" si="11"/>
        <v>21985</v>
      </c>
      <c r="V12" s="767"/>
      <c r="W12" s="329"/>
      <c r="X12" s="329">
        <v>8368</v>
      </c>
      <c r="Y12" s="328">
        <v>5822</v>
      </c>
      <c r="Z12" s="952">
        <v>6487</v>
      </c>
      <c r="AA12" s="768"/>
      <c r="AB12" s="121"/>
      <c r="AC12" s="121">
        <f t="shared" si="9"/>
        <v>35781</v>
      </c>
      <c r="AD12" s="121">
        <f t="shared" si="4"/>
        <v>31139</v>
      </c>
      <c r="AE12" s="122">
        <f t="shared" si="5"/>
        <v>21985</v>
      </c>
      <c r="AF12" s="1340"/>
      <c r="AG12" s="770"/>
      <c r="AH12" s="770">
        <v>314503</v>
      </c>
      <c r="AI12" s="770">
        <v>258002</v>
      </c>
      <c r="AJ12" s="769">
        <v>254577</v>
      </c>
    </row>
    <row r="13" spans="1:36" s="749" customFormat="1" ht="12.75">
      <c r="A13" s="762" t="s">
        <v>22</v>
      </c>
      <c r="B13" s="763"/>
      <c r="C13" s="737"/>
      <c r="D13" s="737">
        <v>10348</v>
      </c>
      <c r="E13" s="737">
        <v>9946</v>
      </c>
      <c r="F13" s="737">
        <v>8872</v>
      </c>
      <c r="G13" s="764"/>
      <c r="H13" s="541"/>
      <c r="I13" s="541">
        <v>17314</v>
      </c>
      <c r="J13" s="541">
        <v>15093</v>
      </c>
      <c r="K13" s="541">
        <v>12033</v>
      </c>
      <c r="L13" s="1069"/>
      <c r="M13" s="621"/>
      <c r="N13" s="621">
        <v>0</v>
      </c>
      <c r="O13" s="621">
        <v>0</v>
      </c>
      <c r="P13" s="621">
        <v>0</v>
      </c>
      <c r="Q13" s="765"/>
      <c r="R13" s="766"/>
      <c r="S13" s="766">
        <f t="shared" si="10"/>
        <v>27662</v>
      </c>
      <c r="T13" s="766">
        <f t="shared" si="11"/>
        <v>25039</v>
      </c>
      <c r="U13" s="1337">
        <f t="shared" si="11"/>
        <v>20905</v>
      </c>
      <c r="V13" s="767"/>
      <c r="W13" s="329"/>
      <c r="X13" s="329">
        <v>7574</v>
      </c>
      <c r="Y13" s="328">
        <f>6483+40</f>
        <v>6523</v>
      </c>
      <c r="Z13" s="952">
        <v>6721</v>
      </c>
      <c r="AA13" s="768"/>
      <c r="AB13" s="121"/>
      <c r="AC13" s="121">
        <f t="shared" si="9"/>
        <v>35236</v>
      </c>
      <c r="AD13" s="121">
        <f t="shared" si="4"/>
        <v>31760</v>
      </c>
      <c r="AE13" s="122">
        <f t="shared" si="5"/>
        <v>20905</v>
      </c>
      <c r="AF13" s="1340"/>
      <c r="AG13" s="770"/>
      <c r="AH13" s="770">
        <v>328852</v>
      </c>
      <c r="AI13" s="770">
        <v>274740</v>
      </c>
      <c r="AJ13" s="769">
        <v>241860</v>
      </c>
    </row>
    <row r="14" spans="1:36" s="749" customFormat="1" ht="12.75">
      <c r="A14" s="762" t="s">
        <v>23</v>
      </c>
      <c r="B14" s="763"/>
      <c r="C14" s="352"/>
      <c r="D14" s="352">
        <v>10141</v>
      </c>
      <c r="E14" s="352">
        <v>10160</v>
      </c>
      <c r="F14" s="737">
        <v>9499</v>
      </c>
      <c r="G14" s="764"/>
      <c r="H14" s="353"/>
      <c r="I14" s="353">
        <v>15466</v>
      </c>
      <c r="J14" s="353">
        <v>14267</v>
      </c>
      <c r="K14" s="541">
        <v>12424</v>
      </c>
      <c r="L14" s="1069"/>
      <c r="M14" s="621"/>
      <c r="N14" s="621">
        <v>0</v>
      </c>
      <c r="O14" s="621">
        <v>0</v>
      </c>
      <c r="P14" s="621">
        <v>0</v>
      </c>
      <c r="Q14" s="765"/>
      <c r="R14" s="766"/>
      <c r="S14" s="766">
        <f t="shared" si="10"/>
        <v>25607</v>
      </c>
      <c r="T14" s="766">
        <f t="shared" si="11"/>
        <v>24427</v>
      </c>
      <c r="U14" s="1337">
        <f t="shared" si="11"/>
        <v>21923</v>
      </c>
      <c r="V14" s="767"/>
      <c r="W14" s="329"/>
      <c r="X14" s="329">
        <v>6183</v>
      </c>
      <c r="Y14" s="329">
        <v>5860</v>
      </c>
      <c r="Z14" s="952">
        <v>5439</v>
      </c>
      <c r="AA14" s="768"/>
      <c r="AB14" s="121"/>
      <c r="AC14" s="121">
        <f t="shared" si="9"/>
        <v>31790</v>
      </c>
      <c r="AD14" s="121">
        <f t="shared" si="4"/>
        <v>29866</v>
      </c>
      <c r="AE14" s="122">
        <f t="shared" si="5"/>
        <v>21923</v>
      </c>
      <c r="AF14" s="1340"/>
      <c r="AG14" s="770"/>
      <c r="AH14" s="770">
        <v>306205</v>
      </c>
      <c r="AI14" s="770">
        <v>281080</v>
      </c>
      <c r="AJ14" s="769">
        <v>256476</v>
      </c>
    </row>
    <row r="15" spans="1:36" s="749" customFormat="1" ht="13.5" thickBot="1">
      <c r="A15" s="1205" t="s">
        <v>24</v>
      </c>
      <c r="B15" s="992"/>
      <c r="C15" s="1032"/>
      <c r="D15" s="1032">
        <v>9980</v>
      </c>
      <c r="E15" s="1032">
        <v>8880</v>
      </c>
      <c r="F15" s="745">
        <v>10475</v>
      </c>
      <c r="G15" s="1078"/>
      <c r="H15" s="385"/>
      <c r="I15" s="385">
        <v>17603</v>
      </c>
      <c r="J15" s="385">
        <v>12626</v>
      </c>
      <c r="K15" s="545">
        <v>11715</v>
      </c>
      <c r="L15" s="1079"/>
      <c r="M15" s="622"/>
      <c r="N15" s="622">
        <v>0</v>
      </c>
      <c r="O15" s="622">
        <v>0</v>
      </c>
      <c r="P15" s="621">
        <v>0</v>
      </c>
      <c r="Q15" s="1083"/>
      <c r="R15" s="776"/>
      <c r="S15" s="776">
        <f t="shared" si="10"/>
        <v>27583</v>
      </c>
      <c r="T15" s="776">
        <f t="shared" si="11"/>
        <v>21506</v>
      </c>
      <c r="U15" s="1338">
        <f t="shared" si="11"/>
        <v>22190</v>
      </c>
      <c r="V15" s="777"/>
      <c r="W15" s="955"/>
      <c r="X15" s="955">
        <v>9064</v>
      </c>
      <c r="Y15" s="133">
        <v>5816</v>
      </c>
      <c r="Z15" s="953">
        <v>7854</v>
      </c>
      <c r="AA15" s="778"/>
      <c r="AB15" s="555"/>
      <c r="AC15" s="555">
        <f t="shared" si="9"/>
        <v>36647</v>
      </c>
      <c r="AD15" s="555">
        <f t="shared" si="4"/>
        <v>29360</v>
      </c>
      <c r="AE15" s="556">
        <f t="shared" si="5"/>
        <v>22190</v>
      </c>
      <c r="AF15" s="1541"/>
      <c r="AG15" s="1087"/>
      <c r="AH15" s="1087">
        <v>330801</v>
      </c>
      <c r="AI15" s="1087">
        <v>254468</v>
      </c>
      <c r="AJ15" s="1088">
        <v>267420</v>
      </c>
    </row>
    <row r="16" spans="1:36" s="789" customFormat="1" ht="12.75">
      <c r="A16" s="1325" t="s">
        <v>25</v>
      </c>
      <c r="B16" s="1089">
        <f>SUM(C16-D16)/D16</f>
        <v>-0.05842998585572843</v>
      </c>
      <c r="C16" s="782">
        <f>SUM(C4:C10)</f>
        <v>66569</v>
      </c>
      <c r="D16" s="782">
        <f>SUM(D4:D10)</f>
        <v>70700</v>
      </c>
      <c r="E16" s="782">
        <f>SUM(E4:E10)</f>
        <v>66038</v>
      </c>
      <c r="F16" s="782">
        <f>SUM(F4:F10)</f>
        <v>65504</v>
      </c>
      <c r="G16" s="875">
        <f>SUM(H16-I16)/I16</f>
        <v>0.12256660746003552</v>
      </c>
      <c r="H16" s="782">
        <f>SUM(H4:H10)</f>
        <v>126401</v>
      </c>
      <c r="I16" s="782">
        <f>SUM(I4:I10)</f>
        <v>112600</v>
      </c>
      <c r="J16" s="782">
        <f>SUM(J4:J10)</f>
        <v>85724</v>
      </c>
      <c r="K16" s="782">
        <f>SUM(K4:K10)</f>
        <v>79544</v>
      </c>
      <c r="L16" s="875" t="e">
        <f>SUM(M16-N16)/N16</f>
        <v>#DIV/0!</v>
      </c>
      <c r="M16" s="782">
        <f>SUM(M4:M10)</f>
        <v>0</v>
      </c>
      <c r="N16" s="782">
        <f>SUM(N4:N8)</f>
        <v>0</v>
      </c>
      <c r="O16" s="782">
        <f>SUM(O4:O8)</f>
        <v>0</v>
      </c>
      <c r="P16" s="782">
        <f>SUM(P4:P8)</f>
        <v>0</v>
      </c>
      <c r="Q16" s="875">
        <f>SUM(R16-S16)/S16</f>
        <v>0.05275504637206765</v>
      </c>
      <c r="R16" s="783">
        <f t="shared" si="10"/>
        <v>192970</v>
      </c>
      <c r="S16" s="783">
        <f t="shared" si="10"/>
        <v>183300</v>
      </c>
      <c r="T16" s="783">
        <f t="shared" si="11"/>
        <v>151762</v>
      </c>
      <c r="U16" s="783">
        <f t="shared" si="11"/>
        <v>145048</v>
      </c>
      <c r="V16" s="1050">
        <f>SUM(W16-Y16)/Y16</f>
        <v>0.5570017738146603</v>
      </c>
      <c r="W16" s="782">
        <f>SUM(W4:W10)</f>
        <v>64955</v>
      </c>
      <c r="X16" s="782">
        <f>SUM(X4:X10)</f>
        <v>51534</v>
      </c>
      <c r="Y16" s="782">
        <f>SUM(Y4:Y10)</f>
        <v>41718</v>
      </c>
      <c r="Z16" s="782">
        <f>SUM(Z4:Z10)</f>
        <v>38147</v>
      </c>
      <c r="AA16" s="875">
        <f>SUM(AB16-AC16)/AC16</f>
        <v>0.09832903242290299</v>
      </c>
      <c r="AB16" s="399">
        <f>+R16+W16</f>
        <v>257925</v>
      </c>
      <c r="AC16" s="399">
        <f>+S16+X16</f>
        <v>234834</v>
      </c>
      <c r="AD16" s="399">
        <f>+T16+Y16</f>
        <v>193480</v>
      </c>
      <c r="AE16" s="1221">
        <f>+U16+Z16</f>
        <v>183195</v>
      </c>
      <c r="AF16" s="875">
        <f>SUM(AG16-AH16)/AH16</f>
        <v>0.2496100033720474</v>
      </c>
      <c r="AG16" s="782">
        <f>SUM(AG4:AG10)</f>
        <v>2260532</v>
      </c>
      <c r="AH16" s="782">
        <f>SUM(AH4:AH9)</f>
        <v>1808990</v>
      </c>
      <c r="AI16" s="782">
        <f>SUM(AI4:AI9)</f>
        <v>1488804</v>
      </c>
      <c r="AJ16" s="782">
        <f>SUM(AJ4:AJ9)</f>
        <v>1425773</v>
      </c>
    </row>
    <row r="17" spans="1:36" s="789" customFormat="1" ht="13.5" thickBot="1">
      <c r="A17" s="1326" t="s">
        <v>28</v>
      </c>
      <c r="B17" s="1090">
        <f>SUM(C17-D17)/D17</f>
        <v>-0.06304518408264803</v>
      </c>
      <c r="C17" s="785">
        <f>AVERAGE(C4:C15)</f>
        <v>9509.857142857143</v>
      </c>
      <c r="D17" s="785">
        <f>AVERAGE(D4:D15)</f>
        <v>10149.75</v>
      </c>
      <c r="E17" s="785">
        <f>AVERAGE(E4:E15)</f>
        <v>9511.083333333334</v>
      </c>
      <c r="F17" s="786">
        <f>AVERAGE(F4:F15)</f>
        <v>9469</v>
      </c>
      <c r="G17" s="878">
        <f>SUM(H17-I17)/I17</f>
        <v>0.10418477477516824</v>
      </c>
      <c r="H17" s="785">
        <f>AVERAGE(H4:H15)</f>
        <v>18057.285714285714</v>
      </c>
      <c r="I17" s="785">
        <f>AVERAGE(I4:I15)</f>
        <v>16353.5</v>
      </c>
      <c r="J17" s="785">
        <f>AVERAGE(J4:J15)</f>
        <v>13040</v>
      </c>
      <c r="K17" s="786">
        <f>AVERAGE(K4:K15)</f>
        <v>11661.833333333334</v>
      </c>
      <c r="L17" s="878" t="e">
        <f>SUM(M17-N17)/N17</f>
        <v>#DIV/0!</v>
      </c>
      <c r="M17" s="785">
        <f>AVERAGE(M4:M15)</f>
        <v>0</v>
      </c>
      <c r="N17" s="785">
        <f>AVERAGE(N4:N15)</f>
        <v>0</v>
      </c>
      <c r="O17" s="785">
        <f>AVERAGE(O4:O15)</f>
        <v>0</v>
      </c>
      <c r="P17" s="786">
        <f>AVERAGE(P4:P15)</f>
        <v>0</v>
      </c>
      <c r="Q17" s="878">
        <f>SUM(R17-S17)/S17</f>
        <v>0.04014197719686675</v>
      </c>
      <c r="R17" s="785">
        <f>AVERAGE(R4:R15)</f>
        <v>27567.14285714286</v>
      </c>
      <c r="S17" s="785">
        <f>AVERAGE(S4:S15)</f>
        <v>26503.25</v>
      </c>
      <c r="T17" s="785">
        <f>AVERAGE(T4:T15)</f>
        <v>22551.083333333332</v>
      </c>
      <c r="U17" s="785">
        <f>AVERAGE(U4:U15)</f>
        <v>21130.833333333332</v>
      </c>
      <c r="V17" s="878">
        <f>SUM(W17-Y17)/Y17</f>
        <v>0.5456245377264768</v>
      </c>
      <c r="W17" s="785">
        <f aca="true" t="shared" si="12" ref="W17:AE17">AVERAGE(W4:W15)</f>
        <v>9279.285714285714</v>
      </c>
      <c r="X17" s="785">
        <f t="shared" si="12"/>
        <v>7465.5</v>
      </c>
      <c r="Y17" s="785">
        <f t="shared" si="12"/>
        <v>6003.583333333333</v>
      </c>
      <c r="Z17" s="1086">
        <f t="shared" si="12"/>
        <v>5919.25</v>
      </c>
      <c r="AA17" s="878">
        <f>SUM(AB17-AD17)/AD17</f>
        <v>0.2942043263079196</v>
      </c>
      <c r="AB17" s="785">
        <f t="shared" si="12"/>
        <v>36846.42857142857</v>
      </c>
      <c r="AC17" s="785">
        <f t="shared" si="12"/>
        <v>33968.75</v>
      </c>
      <c r="AD17" s="785">
        <f t="shared" si="12"/>
        <v>28470.333333333332</v>
      </c>
      <c r="AE17" s="1086">
        <f t="shared" si="12"/>
        <v>21130.89153927185</v>
      </c>
      <c r="AF17" s="878">
        <f>SUM(AG17-AH17)/AH17</f>
        <v>0.05914399554116004</v>
      </c>
      <c r="AG17" s="785">
        <f>AVERAGE(AG5:AG15)</f>
        <v>330595.3333333333</v>
      </c>
      <c r="AH17" s="785">
        <f>AVERAGE(AH5:AH15)</f>
        <v>312134.45454545453</v>
      </c>
      <c r="AI17" s="785">
        <f>AVERAGE(AI5:AI15)</f>
        <v>256954.9090909091</v>
      </c>
      <c r="AJ17" s="786">
        <f>AVERAGE(AJ5:AJ15)</f>
        <v>250501.0909090909</v>
      </c>
    </row>
    <row r="19" spans="3:34" s="2" customFormat="1" ht="11.25">
      <c r="C19" s="2">
        <v>66569</v>
      </c>
      <c r="D19" s="2">
        <v>70700</v>
      </c>
      <c r="H19" s="2">
        <v>126401</v>
      </c>
      <c r="I19" s="2">
        <v>112600</v>
      </c>
      <c r="W19" s="2">
        <v>64955</v>
      </c>
      <c r="X19" s="2">
        <v>51534</v>
      </c>
      <c r="AG19" s="2">
        <v>2260532</v>
      </c>
      <c r="AH19" s="2">
        <v>2135507</v>
      </c>
    </row>
    <row r="20" spans="3:34" s="2" customFormat="1" ht="11.25">
      <c r="C20" s="2">
        <f>+C19-C16</f>
        <v>0</v>
      </c>
      <c r="D20" s="2">
        <f>+D19-D16</f>
        <v>0</v>
      </c>
      <c r="H20" s="2">
        <f>+H19-H16</f>
        <v>0</v>
      </c>
      <c r="I20" s="2">
        <f>+I19-I16</f>
        <v>0</v>
      </c>
      <c r="W20" s="2">
        <f>+W19-W16</f>
        <v>0</v>
      </c>
      <c r="X20" s="2">
        <f>+X19-X16</f>
        <v>0</v>
      </c>
      <c r="AG20" s="2">
        <f>+AG19-AG16</f>
        <v>0</v>
      </c>
      <c r="AH20" s="2">
        <f>+AH19-AH16</f>
        <v>326517</v>
      </c>
    </row>
    <row r="21" s="2" customFormat="1" ht="11.25"/>
  </sheetData>
  <mergeCells count="10">
    <mergeCell ref="A1:A2"/>
    <mergeCell ref="B1:E1"/>
    <mergeCell ref="AC1:AJ1"/>
    <mergeCell ref="B3:F3"/>
    <mergeCell ref="G3:K3"/>
    <mergeCell ref="L3:P3"/>
    <mergeCell ref="Q3:U3"/>
    <mergeCell ref="V3:Z3"/>
    <mergeCell ref="AA3:AE3"/>
    <mergeCell ref="AF3:AJ3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0" sqref="E20"/>
    </sheetView>
  </sheetViews>
  <sheetFormatPr defaultColWidth="9.140625" defaultRowHeight="12.75"/>
  <cols>
    <col min="1" max="1" width="15.140625" style="0" customWidth="1"/>
    <col min="2" max="2" width="7.00390625" style="0" bestFit="1" customWidth="1"/>
    <col min="3" max="6" width="6.57421875" style="0" bestFit="1" customWidth="1"/>
  </cols>
  <sheetData>
    <row r="1" spans="1:6" s="142" customFormat="1" ht="13.5" thickBot="1">
      <c r="A1" s="2034" t="s">
        <v>205</v>
      </c>
      <c r="B1" s="2037"/>
      <c r="C1" s="1906"/>
      <c r="D1" s="1907"/>
      <c r="E1" s="1907"/>
      <c r="F1" s="1907"/>
    </row>
    <row r="2" spans="1:6" s="142" customFormat="1" ht="12" thickBot="1">
      <c r="A2" s="2035"/>
      <c r="B2" s="581" t="s">
        <v>44</v>
      </c>
      <c r="C2" s="346">
        <v>2008</v>
      </c>
      <c r="D2" s="346">
        <v>2007</v>
      </c>
      <c r="E2" s="346">
        <v>2006</v>
      </c>
      <c r="F2" s="347">
        <v>2005</v>
      </c>
    </row>
    <row r="3" spans="1:6" s="142" customFormat="1" ht="17.25" customHeight="1" thickBot="1">
      <c r="A3" s="2036"/>
      <c r="B3" s="1893" t="s">
        <v>51</v>
      </c>
      <c r="C3" s="1884"/>
      <c r="D3" s="1885"/>
      <c r="E3" s="1885"/>
      <c r="F3" s="1886"/>
    </row>
    <row r="4" spans="1:6" s="142" customFormat="1" ht="11.25">
      <c r="A4" s="325" t="s">
        <v>13</v>
      </c>
      <c r="B4" s="564">
        <f aca="true" t="shared" si="0" ref="B4:B10">SUM(C4-D4)/D4</f>
        <v>0.2930295746681994</v>
      </c>
      <c r="C4" s="565">
        <v>49492</v>
      </c>
      <c r="D4" s="565">
        <v>38276</v>
      </c>
      <c r="E4" s="565">
        <v>28236</v>
      </c>
      <c r="F4" s="1444">
        <v>34239</v>
      </c>
    </row>
    <row r="5" spans="1:6" s="142" customFormat="1" ht="11.25">
      <c r="A5" s="229" t="s">
        <v>14</v>
      </c>
      <c r="B5" s="480">
        <f t="shared" si="0"/>
        <v>0.055206052160063704</v>
      </c>
      <c r="C5" s="481">
        <v>53003</v>
      </c>
      <c r="D5" s="481">
        <v>50230</v>
      </c>
      <c r="E5" s="482">
        <v>35822</v>
      </c>
      <c r="F5" s="1445">
        <v>40582</v>
      </c>
    </row>
    <row r="6" spans="1:6" s="142" customFormat="1" ht="11.25">
      <c r="A6" s="229" t="s">
        <v>15</v>
      </c>
      <c r="B6" s="480">
        <f t="shared" si="0"/>
        <v>0.009810116058661169</v>
      </c>
      <c r="C6" s="482">
        <v>60732</v>
      </c>
      <c r="D6" s="482">
        <v>60142</v>
      </c>
      <c r="E6" s="482">
        <v>49696</v>
      </c>
      <c r="F6" s="1445">
        <v>52081</v>
      </c>
    </row>
    <row r="7" spans="1:6" s="142" customFormat="1" ht="11.25">
      <c r="A7" s="229" t="s">
        <v>16</v>
      </c>
      <c r="B7" s="480">
        <f t="shared" si="0"/>
        <v>0.1418832410501987</v>
      </c>
      <c r="C7" s="482">
        <v>68674</v>
      </c>
      <c r="D7" s="482">
        <v>60141</v>
      </c>
      <c r="E7" s="482">
        <v>52751</v>
      </c>
      <c r="F7" s="1445">
        <v>50132</v>
      </c>
    </row>
    <row r="8" spans="1:6" s="142" customFormat="1" ht="11.25">
      <c r="A8" s="229" t="s">
        <v>17</v>
      </c>
      <c r="B8" s="480">
        <f t="shared" si="0"/>
        <v>0.1526733356329769</v>
      </c>
      <c r="C8" s="482">
        <v>66832</v>
      </c>
      <c r="D8" s="482">
        <v>57980</v>
      </c>
      <c r="E8" s="482">
        <v>46880</v>
      </c>
      <c r="F8" s="1445">
        <v>40220</v>
      </c>
    </row>
    <row r="9" spans="1:6" s="142" customFormat="1" ht="11.25">
      <c r="A9" s="229" t="s">
        <v>18</v>
      </c>
      <c r="B9" s="480">
        <f t="shared" si="0"/>
        <v>0.04062796824315848</v>
      </c>
      <c r="C9" s="489">
        <v>58066</v>
      </c>
      <c r="D9" s="489">
        <v>55799</v>
      </c>
      <c r="E9" s="489">
        <v>47070</v>
      </c>
      <c r="F9" s="490">
        <v>38336</v>
      </c>
    </row>
    <row r="10" spans="1:6" s="142" customFormat="1" ht="11.25">
      <c r="A10" s="229" t="s">
        <v>19</v>
      </c>
      <c r="B10" s="480">
        <f t="shared" si="0"/>
        <v>0.057349349215377925</v>
      </c>
      <c r="C10" s="489">
        <v>63202</v>
      </c>
      <c r="D10" s="489">
        <v>59774</v>
      </c>
      <c r="E10" s="489">
        <v>42491</v>
      </c>
      <c r="F10" s="490">
        <v>35778</v>
      </c>
    </row>
    <row r="11" spans="1:6" s="142" customFormat="1" ht="11.25">
      <c r="A11" s="229" t="s">
        <v>20</v>
      </c>
      <c r="B11" s="480"/>
      <c r="C11" s="489"/>
      <c r="D11" s="489">
        <v>46561</v>
      </c>
      <c r="E11" s="489">
        <v>48366</v>
      </c>
      <c r="F11" s="490">
        <v>31351</v>
      </c>
    </row>
    <row r="12" spans="1:6" s="142" customFormat="1" ht="11.25">
      <c r="A12" s="229" t="s">
        <v>21</v>
      </c>
      <c r="B12" s="480"/>
      <c r="C12" s="489"/>
      <c r="D12" s="489">
        <v>43812</v>
      </c>
      <c r="E12" s="489">
        <v>40467</v>
      </c>
      <c r="F12" s="490">
        <v>34466</v>
      </c>
    </row>
    <row r="13" spans="1:6" s="142" customFormat="1" ht="11.25">
      <c r="A13" s="229" t="s">
        <v>22</v>
      </c>
      <c r="B13" s="480"/>
      <c r="C13" s="489"/>
      <c r="D13" s="489">
        <v>40360</v>
      </c>
      <c r="E13" s="489">
        <v>43232</v>
      </c>
      <c r="F13" s="490">
        <v>33826</v>
      </c>
    </row>
    <row r="14" spans="1:6" s="142" customFormat="1" ht="11.25">
      <c r="A14" s="229" t="s">
        <v>23</v>
      </c>
      <c r="B14" s="480"/>
      <c r="C14" s="489"/>
      <c r="D14" s="489">
        <v>39012</v>
      </c>
      <c r="E14" s="489">
        <v>43233</v>
      </c>
      <c r="F14" s="490">
        <v>31680</v>
      </c>
    </row>
    <row r="15" spans="1:6" s="142" customFormat="1" ht="12" thickBot="1">
      <c r="A15" s="429" t="s">
        <v>24</v>
      </c>
      <c r="B15" s="1482"/>
      <c r="C15" s="1483"/>
      <c r="D15" s="1483">
        <v>44400</v>
      </c>
      <c r="E15" s="1483">
        <v>40974</v>
      </c>
      <c r="F15" s="1484">
        <v>31816</v>
      </c>
    </row>
    <row r="16" spans="1:6" s="336" customFormat="1" ht="11.25">
      <c r="A16" s="383" t="s">
        <v>25</v>
      </c>
      <c r="B16" s="1485">
        <f>SUM(C16-D16)/D16</f>
        <v>0.09849558771989475</v>
      </c>
      <c r="C16" s="430">
        <f>SUM(C4:C10)</f>
        <v>420001</v>
      </c>
      <c r="D16" s="430">
        <f>SUM(D4:D10)</f>
        <v>382342</v>
      </c>
      <c r="E16" s="430">
        <f>SUM(E4:E10)</f>
        <v>302946</v>
      </c>
      <c r="F16" s="430">
        <f>SUM(F4:F10)</f>
        <v>291368</v>
      </c>
    </row>
    <row r="17" spans="1:6" s="336" customFormat="1" ht="12" thickBot="1">
      <c r="A17" s="293" t="s">
        <v>28</v>
      </c>
      <c r="B17" s="1550">
        <f>SUM(C17-D17)/D17</f>
        <v>0.20707025347696473</v>
      </c>
      <c r="C17" s="337">
        <f>AVERAGE(C4:C15)</f>
        <v>60000.142857142855</v>
      </c>
      <c r="D17" s="337">
        <f>AVERAGE(D4:D15)</f>
        <v>49707.25</v>
      </c>
      <c r="E17" s="337">
        <f>AVERAGE(E4:E15)</f>
        <v>43268.166666666664</v>
      </c>
      <c r="F17" s="338">
        <f>AVERAGE(F4:F15)</f>
        <v>37875.583333333336</v>
      </c>
    </row>
  </sheetData>
  <mergeCells count="3">
    <mergeCell ref="A1:A3"/>
    <mergeCell ref="B1:F1"/>
    <mergeCell ref="B3:F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A1">
      <selection activeCell="A1" sqref="A1:A2"/>
    </sheetView>
  </sheetViews>
  <sheetFormatPr defaultColWidth="9.140625" defaultRowHeight="12.75"/>
  <cols>
    <col min="1" max="1" width="14.00390625" style="3" customWidth="1"/>
    <col min="2" max="9" width="7.140625" style="3" customWidth="1"/>
    <col min="10" max="10" width="6.421875" style="3" customWidth="1"/>
    <col min="11" max="17" width="7.140625" style="3" customWidth="1"/>
    <col min="18" max="18" width="6.421875" style="3" customWidth="1"/>
    <col min="19" max="25" width="6.57421875" style="3" customWidth="1"/>
    <col min="26" max="16384" width="9.140625" style="3" customWidth="1"/>
  </cols>
  <sheetData>
    <row r="1" spans="1:25" s="543" customFormat="1" ht="11.25" customHeight="1" thickBot="1">
      <c r="A1" s="1901" t="s">
        <v>114</v>
      </c>
      <c r="B1" s="883"/>
      <c r="C1" s="884"/>
      <c r="D1" s="884"/>
      <c r="E1" s="884"/>
      <c r="F1" s="884"/>
      <c r="G1" s="884"/>
      <c r="H1" s="884"/>
      <c r="I1" s="884"/>
      <c r="J1" s="883"/>
      <c r="K1" s="245"/>
      <c r="L1" s="245"/>
      <c r="M1" s="245"/>
      <c r="N1" s="245"/>
      <c r="O1" s="245"/>
      <c r="P1" s="245"/>
      <c r="Q1" s="248"/>
      <c r="R1" s="243"/>
      <c r="S1" s="243"/>
      <c r="T1" s="243"/>
      <c r="U1" s="1911"/>
      <c r="V1" s="1911"/>
      <c r="W1" s="1911"/>
      <c r="X1" s="1911"/>
      <c r="Y1" s="1912"/>
    </row>
    <row r="2" spans="1:25" s="543" customFormat="1" ht="27.75" customHeight="1" thickBot="1">
      <c r="A2" s="2038"/>
      <c r="B2" s="250" t="s">
        <v>183</v>
      </c>
      <c r="C2" s="241">
        <v>2007</v>
      </c>
      <c r="D2" s="241">
        <v>2007</v>
      </c>
      <c r="E2" s="241">
        <v>2006</v>
      </c>
      <c r="F2" s="241">
        <v>2005</v>
      </c>
      <c r="G2" s="241">
        <v>2004</v>
      </c>
      <c r="H2" s="241">
        <v>2003</v>
      </c>
      <c r="I2" s="242">
        <v>2002</v>
      </c>
      <c r="J2" s="249" t="s">
        <v>183</v>
      </c>
      <c r="K2" s="239">
        <v>2008</v>
      </c>
      <c r="L2" s="239">
        <v>2007</v>
      </c>
      <c r="M2" s="239">
        <v>2006</v>
      </c>
      <c r="N2" s="239">
        <v>2005</v>
      </c>
      <c r="O2" s="239">
        <v>2004</v>
      </c>
      <c r="P2" s="239">
        <v>2003</v>
      </c>
      <c r="Q2" s="240">
        <v>2002</v>
      </c>
      <c r="R2" s="251" t="s">
        <v>183</v>
      </c>
      <c r="S2" s="252">
        <v>2008</v>
      </c>
      <c r="T2" s="252">
        <v>2007</v>
      </c>
      <c r="U2" s="252">
        <v>2006</v>
      </c>
      <c r="V2" s="252">
        <v>2005</v>
      </c>
      <c r="W2" s="252">
        <v>2004</v>
      </c>
      <c r="X2" s="252">
        <v>2003</v>
      </c>
      <c r="Y2" s="253">
        <v>2002</v>
      </c>
    </row>
    <row r="3" spans="1:25" s="547" customFormat="1" ht="12" thickBot="1">
      <c r="A3" s="309"/>
      <c r="B3" s="2016" t="s">
        <v>115</v>
      </c>
      <c r="C3" s="2017"/>
      <c r="D3" s="2017"/>
      <c r="E3" s="2017"/>
      <c r="F3" s="2017"/>
      <c r="G3" s="2017"/>
      <c r="H3" s="2017"/>
      <c r="I3" s="2018"/>
      <c r="J3" s="1896" t="s">
        <v>121</v>
      </c>
      <c r="K3" s="1896"/>
      <c r="L3" s="1896"/>
      <c r="M3" s="1896"/>
      <c r="N3" s="1896"/>
      <c r="O3" s="1896"/>
      <c r="P3" s="1896"/>
      <c r="Q3" s="1879"/>
      <c r="R3" s="1890" t="s">
        <v>116</v>
      </c>
      <c r="S3" s="1896"/>
      <c r="T3" s="1896"/>
      <c r="U3" s="1896"/>
      <c r="V3" s="1896"/>
      <c r="W3" s="1896"/>
      <c r="X3" s="1896"/>
      <c r="Y3" s="1879"/>
    </row>
    <row r="4" spans="1:25" s="543" customFormat="1" ht="11.25">
      <c r="A4" s="696" t="s">
        <v>13</v>
      </c>
      <c r="B4" s="763">
        <f aca="true" t="shared" si="0" ref="B4:B10">SUM(C4-D4)/D4</f>
        <v>0.19743745221586564</v>
      </c>
      <c r="C4" s="887">
        <v>45420</v>
      </c>
      <c r="D4" s="887">
        <v>37931</v>
      </c>
      <c r="E4" s="887">
        <v>41482</v>
      </c>
      <c r="F4" s="887">
        <v>46947</v>
      </c>
      <c r="G4" s="887">
        <v>34756</v>
      </c>
      <c r="H4" s="887">
        <v>37558</v>
      </c>
      <c r="I4" s="1214">
        <v>33680</v>
      </c>
      <c r="J4" s="758">
        <f aca="true" t="shared" si="1" ref="J4:J10">SUM(K4-L4)/L4</f>
        <v>-0.020278294779757157</v>
      </c>
      <c r="K4" s="885">
        <v>55271</v>
      </c>
      <c r="L4" s="885">
        <v>56415</v>
      </c>
      <c r="M4" s="885">
        <v>48555</v>
      </c>
      <c r="N4" s="885">
        <v>45851</v>
      </c>
      <c r="O4" s="885">
        <v>39822</v>
      </c>
      <c r="P4" s="885">
        <v>36489</v>
      </c>
      <c r="Q4" s="1588">
        <v>33188</v>
      </c>
      <c r="R4" s="1585">
        <f aca="true" t="shared" si="2" ref="R4:R9">SUM(S4-T4)/T4</f>
        <v>0.06725245373412757</v>
      </c>
      <c r="S4" s="518">
        <f aca="true" t="shared" si="3" ref="S4:Y4">+C4+K4</f>
        <v>100691</v>
      </c>
      <c r="T4" s="518">
        <f t="shared" si="3"/>
        <v>94346</v>
      </c>
      <c r="U4" s="518">
        <f t="shared" si="3"/>
        <v>90037</v>
      </c>
      <c r="V4" s="518">
        <f t="shared" si="3"/>
        <v>92798</v>
      </c>
      <c r="W4" s="518">
        <f t="shared" si="3"/>
        <v>74578</v>
      </c>
      <c r="X4" s="518">
        <f t="shared" si="3"/>
        <v>74047</v>
      </c>
      <c r="Y4" s="921">
        <f t="shared" si="3"/>
        <v>66868</v>
      </c>
    </row>
    <row r="5" spans="1:25" s="543" customFormat="1" ht="11.25">
      <c r="A5" s="539" t="s">
        <v>14</v>
      </c>
      <c r="B5" s="763">
        <f t="shared" si="0"/>
        <v>0.07081802123728503</v>
      </c>
      <c r="C5" s="887">
        <v>52741</v>
      </c>
      <c r="D5" s="887">
        <v>49253</v>
      </c>
      <c r="E5" s="887">
        <v>45928</v>
      </c>
      <c r="F5" s="887">
        <v>46847</v>
      </c>
      <c r="G5" s="887">
        <v>48567</v>
      </c>
      <c r="H5" s="887">
        <v>35823</v>
      </c>
      <c r="I5" s="1214">
        <v>35943</v>
      </c>
      <c r="J5" s="767">
        <f t="shared" si="1"/>
        <v>0.21225578994526578</v>
      </c>
      <c r="K5" s="888">
        <v>62236</v>
      </c>
      <c r="L5" s="888">
        <v>51339</v>
      </c>
      <c r="M5" s="888">
        <v>52638</v>
      </c>
      <c r="N5" s="888">
        <v>47566</v>
      </c>
      <c r="O5" s="888">
        <v>46558</v>
      </c>
      <c r="P5" s="888">
        <v>41102</v>
      </c>
      <c r="Q5" s="1589">
        <v>35260</v>
      </c>
      <c r="R5" s="1586">
        <f t="shared" si="2"/>
        <v>0.1430034197550501</v>
      </c>
      <c r="S5" s="246">
        <f aca="true" t="shared" si="4" ref="S5:S10">+C5+K5</f>
        <v>114977</v>
      </c>
      <c r="T5" s="246">
        <f aca="true" t="shared" si="5" ref="T5:T15">+D5+L5</f>
        <v>100592</v>
      </c>
      <c r="U5" s="246">
        <f aca="true" t="shared" si="6" ref="U5:Y8">+E5+M5</f>
        <v>98566</v>
      </c>
      <c r="V5" s="246">
        <f t="shared" si="6"/>
        <v>94413</v>
      </c>
      <c r="W5" s="246">
        <f t="shared" si="6"/>
        <v>95125</v>
      </c>
      <c r="X5" s="246">
        <f t="shared" si="6"/>
        <v>76925</v>
      </c>
      <c r="Y5" s="247">
        <f t="shared" si="6"/>
        <v>71203</v>
      </c>
    </row>
    <row r="6" spans="1:25" s="543" customFormat="1" ht="11.25">
      <c r="A6" s="539" t="s">
        <v>15</v>
      </c>
      <c r="B6" s="763">
        <f t="shared" si="0"/>
        <v>-0.007229937844666998</v>
      </c>
      <c r="C6" s="887">
        <v>53827</v>
      </c>
      <c r="D6" s="887">
        <v>54219</v>
      </c>
      <c r="E6" s="887">
        <v>53106</v>
      </c>
      <c r="F6" s="887">
        <v>57200</v>
      </c>
      <c r="G6" s="887">
        <v>49281</v>
      </c>
      <c r="H6" s="887">
        <v>47492</v>
      </c>
      <c r="I6" s="1214">
        <v>45483</v>
      </c>
      <c r="J6" s="767">
        <f t="shared" si="1"/>
        <v>-0.004656764351665997</v>
      </c>
      <c r="K6" s="888">
        <v>61985</v>
      </c>
      <c r="L6" s="888">
        <v>62275</v>
      </c>
      <c r="M6" s="888">
        <v>52791</v>
      </c>
      <c r="N6" s="888">
        <v>59087</v>
      </c>
      <c r="O6" s="888">
        <v>51496</v>
      </c>
      <c r="P6" s="888">
        <v>38358</v>
      </c>
      <c r="Q6" s="1589">
        <v>42269</v>
      </c>
      <c r="R6" s="1586">
        <f t="shared" si="2"/>
        <v>-0.0058543787662883925</v>
      </c>
      <c r="S6" s="246">
        <f t="shared" si="4"/>
        <v>115812</v>
      </c>
      <c r="T6" s="246">
        <f t="shared" si="5"/>
        <v>116494</v>
      </c>
      <c r="U6" s="246">
        <f t="shared" si="6"/>
        <v>105897</v>
      </c>
      <c r="V6" s="246">
        <f t="shared" si="6"/>
        <v>116287</v>
      </c>
      <c r="W6" s="246">
        <f t="shared" si="6"/>
        <v>100777</v>
      </c>
      <c r="X6" s="246">
        <f t="shared" si="6"/>
        <v>85850</v>
      </c>
      <c r="Y6" s="247">
        <f t="shared" si="6"/>
        <v>87752</v>
      </c>
    </row>
    <row r="7" spans="1:25" s="543" customFormat="1" ht="11.25">
      <c r="A7" s="539" t="s">
        <v>16</v>
      </c>
      <c r="B7" s="763">
        <f t="shared" si="0"/>
        <v>0.06781959389253826</v>
      </c>
      <c r="C7" s="1426">
        <v>60634</v>
      </c>
      <c r="D7" s="887">
        <v>56783</v>
      </c>
      <c r="E7" s="887">
        <v>60912</v>
      </c>
      <c r="F7" s="887">
        <v>51718</v>
      </c>
      <c r="G7" s="887">
        <v>52326</v>
      </c>
      <c r="H7" s="887">
        <v>45803</v>
      </c>
      <c r="I7" s="1214">
        <v>44996</v>
      </c>
      <c r="J7" s="767">
        <f t="shared" si="1"/>
        <v>0.1430125247198418</v>
      </c>
      <c r="K7" s="1427">
        <v>69358</v>
      </c>
      <c r="L7" s="888">
        <v>60680</v>
      </c>
      <c r="M7" s="888">
        <v>56302</v>
      </c>
      <c r="N7" s="888">
        <v>49595</v>
      </c>
      <c r="O7" s="888">
        <v>50784</v>
      </c>
      <c r="P7" s="888">
        <v>50875</v>
      </c>
      <c r="Q7" s="1589">
        <v>41674</v>
      </c>
      <c r="R7" s="1586">
        <f t="shared" si="2"/>
        <v>0.10666337484995275</v>
      </c>
      <c r="S7" s="246">
        <f t="shared" si="4"/>
        <v>129992</v>
      </c>
      <c r="T7" s="246">
        <f t="shared" si="5"/>
        <v>117463</v>
      </c>
      <c r="U7" s="246">
        <f t="shared" si="6"/>
        <v>117214</v>
      </c>
      <c r="V7" s="246">
        <f t="shared" si="6"/>
        <v>101313</v>
      </c>
      <c r="W7" s="246">
        <f t="shared" si="6"/>
        <v>103110</v>
      </c>
      <c r="X7" s="246">
        <f t="shared" si="6"/>
        <v>96678</v>
      </c>
      <c r="Y7" s="247">
        <f t="shared" si="6"/>
        <v>86670</v>
      </c>
    </row>
    <row r="8" spans="1:25" s="543" customFormat="1" ht="11.25">
      <c r="A8" s="539" t="s">
        <v>17</v>
      </c>
      <c r="B8" s="763">
        <f t="shared" si="0"/>
        <v>0.032871092425578084</v>
      </c>
      <c r="C8" s="1426">
        <v>60927</v>
      </c>
      <c r="D8" s="887">
        <v>58988</v>
      </c>
      <c r="E8" s="887">
        <v>53452</v>
      </c>
      <c r="F8" s="887">
        <v>57772</v>
      </c>
      <c r="G8" s="887">
        <v>49416</v>
      </c>
      <c r="H8" s="887">
        <v>52723</v>
      </c>
      <c r="I8" s="1214">
        <v>48542</v>
      </c>
      <c r="J8" s="767">
        <f t="shared" si="1"/>
        <v>0.07932375731218033</v>
      </c>
      <c r="K8" s="1427">
        <v>70482</v>
      </c>
      <c r="L8" s="888">
        <v>65302</v>
      </c>
      <c r="M8" s="888">
        <v>58716</v>
      </c>
      <c r="N8" s="888">
        <v>60296</v>
      </c>
      <c r="O8" s="888">
        <v>49275</v>
      </c>
      <c r="P8" s="888">
        <v>49060</v>
      </c>
      <c r="Q8" s="1589">
        <v>47712</v>
      </c>
      <c r="R8" s="1586">
        <f t="shared" si="2"/>
        <v>0.05727733526430123</v>
      </c>
      <c r="S8" s="246">
        <f t="shared" si="4"/>
        <v>131409</v>
      </c>
      <c r="T8" s="246">
        <f t="shared" si="5"/>
        <v>124290</v>
      </c>
      <c r="U8" s="246">
        <f t="shared" si="6"/>
        <v>112168</v>
      </c>
      <c r="V8" s="246">
        <f t="shared" si="6"/>
        <v>118068</v>
      </c>
      <c r="W8" s="246">
        <f t="shared" si="6"/>
        <v>98691</v>
      </c>
      <c r="X8" s="246">
        <f t="shared" si="6"/>
        <v>101783</v>
      </c>
      <c r="Y8" s="247">
        <f t="shared" si="6"/>
        <v>96254</v>
      </c>
    </row>
    <row r="9" spans="1:25" s="543" customFormat="1" ht="11.25">
      <c r="A9" s="539" t="s">
        <v>18</v>
      </c>
      <c r="B9" s="763">
        <f t="shared" si="0"/>
        <v>0.19524380127200663</v>
      </c>
      <c r="C9" s="1426">
        <v>64836</v>
      </c>
      <c r="D9" s="1595">
        <v>54245</v>
      </c>
      <c r="E9" s="887">
        <v>53520</v>
      </c>
      <c r="F9" s="887">
        <v>46465</v>
      </c>
      <c r="G9" s="887">
        <v>55904</v>
      </c>
      <c r="H9" s="887">
        <v>45409</v>
      </c>
      <c r="I9" s="1214">
        <v>45529</v>
      </c>
      <c r="J9" s="767">
        <f t="shared" si="1"/>
        <v>0.04212231048045038</v>
      </c>
      <c r="K9" s="1427">
        <v>67566</v>
      </c>
      <c r="L9" s="1594">
        <v>64835</v>
      </c>
      <c r="M9" s="888">
        <v>61811</v>
      </c>
      <c r="N9" s="888">
        <v>42426</v>
      </c>
      <c r="O9" s="888">
        <v>47282</v>
      </c>
      <c r="P9" s="888">
        <v>47043</v>
      </c>
      <c r="Q9" s="1589">
        <v>44443</v>
      </c>
      <c r="R9" s="1586">
        <f t="shared" si="2"/>
        <v>0.11187437017131341</v>
      </c>
      <c r="S9" s="246">
        <f t="shared" si="4"/>
        <v>132402</v>
      </c>
      <c r="T9" s="246">
        <f t="shared" si="5"/>
        <v>119080</v>
      </c>
      <c r="U9" s="246">
        <f aca="true" t="shared" si="7" ref="U9:U15">+E9+M9</f>
        <v>115331</v>
      </c>
      <c r="V9" s="246">
        <f aca="true" t="shared" si="8" ref="V9:Y16">+F9+N9</f>
        <v>88891</v>
      </c>
      <c r="W9" s="246">
        <f t="shared" si="8"/>
        <v>103186</v>
      </c>
      <c r="X9" s="246">
        <f t="shared" si="8"/>
        <v>92452</v>
      </c>
      <c r="Y9" s="247">
        <f t="shared" si="8"/>
        <v>89972</v>
      </c>
    </row>
    <row r="10" spans="1:25" s="543" customFormat="1" ht="11.25">
      <c r="A10" s="539" t="s">
        <v>19</v>
      </c>
      <c r="B10" s="763">
        <f t="shared" si="0"/>
        <v>0.08257835044627877</v>
      </c>
      <c r="C10" s="1769">
        <v>64526</v>
      </c>
      <c r="D10" s="887">
        <v>59604</v>
      </c>
      <c r="E10" s="887">
        <v>55782</v>
      </c>
      <c r="F10" s="887">
        <v>56461</v>
      </c>
      <c r="G10" s="887">
        <v>57925</v>
      </c>
      <c r="H10" s="887">
        <v>56259</v>
      </c>
      <c r="I10" s="1214">
        <v>56375</v>
      </c>
      <c r="J10" s="767">
        <f t="shared" si="1"/>
        <v>0.1611690741458646</v>
      </c>
      <c r="K10" s="1768">
        <v>68891</v>
      </c>
      <c r="L10" s="888">
        <v>59329</v>
      </c>
      <c r="M10" s="888">
        <v>53588</v>
      </c>
      <c r="N10" s="888">
        <v>44235</v>
      </c>
      <c r="O10" s="888">
        <v>52428</v>
      </c>
      <c r="P10" s="888">
        <v>49332</v>
      </c>
      <c r="Q10" s="1589">
        <v>41491</v>
      </c>
      <c r="R10" s="1586">
        <f>SUM(S10-T10)/T10</f>
        <v>0.12178285253041629</v>
      </c>
      <c r="S10" s="246">
        <f t="shared" si="4"/>
        <v>133417</v>
      </c>
      <c r="T10" s="246">
        <f t="shared" si="5"/>
        <v>118933</v>
      </c>
      <c r="U10" s="246">
        <f t="shared" si="7"/>
        <v>109370</v>
      </c>
      <c r="V10" s="246">
        <f t="shared" si="8"/>
        <v>100696</v>
      </c>
      <c r="W10" s="246">
        <f t="shared" si="8"/>
        <v>110353</v>
      </c>
      <c r="X10" s="246">
        <f t="shared" si="8"/>
        <v>105591</v>
      </c>
      <c r="Y10" s="247">
        <f t="shared" si="8"/>
        <v>97866</v>
      </c>
    </row>
    <row r="11" spans="1:25" s="543" customFormat="1" ht="11.25">
      <c r="A11" s="539" t="s">
        <v>20</v>
      </c>
      <c r="B11" s="763"/>
      <c r="C11" s="887"/>
      <c r="D11" s="887">
        <v>59497</v>
      </c>
      <c r="E11" s="887">
        <v>53094</v>
      </c>
      <c r="F11" s="887">
        <v>53251</v>
      </c>
      <c r="G11" s="887">
        <v>57424</v>
      </c>
      <c r="H11" s="887">
        <v>48953</v>
      </c>
      <c r="I11" s="1214">
        <v>43734</v>
      </c>
      <c r="J11" s="767"/>
      <c r="K11" s="888"/>
      <c r="L11" s="888">
        <v>66312</v>
      </c>
      <c r="M11" s="888">
        <v>59502</v>
      </c>
      <c r="N11" s="888">
        <v>50936</v>
      </c>
      <c r="O11" s="888">
        <v>56507</v>
      </c>
      <c r="P11" s="888">
        <v>47819</v>
      </c>
      <c r="Q11" s="1589">
        <v>46079</v>
      </c>
      <c r="R11" s="1586"/>
      <c r="S11" s="246"/>
      <c r="T11" s="246">
        <f t="shared" si="5"/>
        <v>125809</v>
      </c>
      <c r="U11" s="246">
        <f t="shared" si="7"/>
        <v>112596</v>
      </c>
      <c r="V11" s="246">
        <f t="shared" si="8"/>
        <v>104187</v>
      </c>
      <c r="W11" s="246">
        <f t="shared" si="8"/>
        <v>113931</v>
      </c>
      <c r="X11" s="246">
        <f t="shared" si="8"/>
        <v>96772</v>
      </c>
      <c r="Y11" s="247">
        <f t="shared" si="8"/>
        <v>89813</v>
      </c>
    </row>
    <row r="12" spans="1:25" s="543" customFormat="1" ht="11.25">
      <c r="A12" s="539" t="s">
        <v>21</v>
      </c>
      <c r="B12" s="763"/>
      <c r="C12" s="887"/>
      <c r="D12" s="887">
        <v>45658</v>
      </c>
      <c r="E12" s="887">
        <f>465601-417276</f>
        <v>48325</v>
      </c>
      <c r="F12" s="887">
        <v>44576</v>
      </c>
      <c r="G12" s="887">
        <v>48323</v>
      </c>
      <c r="H12" s="887">
        <v>42643</v>
      </c>
      <c r="I12" s="1214">
        <v>47194</v>
      </c>
      <c r="J12" s="767"/>
      <c r="K12" s="888"/>
      <c r="L12" s="888">
        <v>53532</v>
      </c>
      <c r="M12" s="888">
        <f>497388-443903</f>
        <v>53485</v>
      </c>
      <c r="N12" s="888">
        <v>43914</v>
      </c>
      <c r="O12" s="888">
        <v>51105</v>
      </c>
      <c r="P12" s="888">
        <v>44503</v>
      </c>
      <c r="Q12" s="1589">
        <v>46761</v>
      </c>
      <c r="R12" s="1586"/>
      <c r="S12" s="246"/>
      <c r="T12" s="246">
        <f t="shared" si="5"/>
        <v>99190</v>
      </c>
      <c r="U12" s="246">
        <f t="shared" si="7"/>
        <v>101810</v>
      </c>
      <c r="V12" s="246">
        <f t="shared" si="8"/>
        <v>88490</v>
      </c>
      <c r="W12" s="246">
        <f t="shared" si="8"/>
        <v>99428</v>
      </c>
      <c r="X12" s="246">
        <f t="shared" si="8"/>
        <v>87146</v>
      </c>
      <c r="Y12" s="247">
        <f t="shared" si="8"/>
        <v>93955</v>
      </c>
    </row>
    <row r="13" spans="1:25" s="543" customFormat="1" ht="11.25">
      <c r="A13" s="539" t="s">
        <v>22</v>
      </c>
      <c r="B13" s="763"/>
      <c r="C13" s="737"/>
      <c r="D13" s="737">
        <v>66654</v>
      </c>
      <c r="E13" s="737">
        <v>56051</v>
      </c>
      <c r="F13" s="887">
        <v>53111</v>
      </c>
      <c r="G13" s="887">
        <v>55343</v>
      </c>
      <c r="H13" s="887">
        <v>50637</v>
      </c>
      <c r="I13" s="1214">
        <v>48536</v>
      </c>
      <c r="J13" s="767"/>
      <c r="K13" s="222"/>
      <c r="L13" s="222">
        <v>62100</v>
      </c>
      <c r="M13" s="222">
        <v>61697</v>
      </c>
      <c r="N13" s="888">
        <v>91791</v>
      </c>
      <c r="O13" s="888">
        <v>59043</v>
      </c>
      <c r="P13" s="888">
        <v>55054</v>
      </c>
      <c r="Q13" s="1589">
        <v>48849</v>
      </c>
      <c r="R13" s="1586"/>
      <c r="S13" s="246"/>
      <c r="T13" s="246">
        <f t="shared" si="5"/>
        <v>128754</v>
      </c>
      <c r="U13" s="246">
        <f t="shared" si="7"/>
        <v>117748</v>
      </c>
      <c r="V13" s="246">
        <f t="shared" si="8"/>
        <v>144902</v>
      </c>
      <c r="W13" s="246">
        <f t="shared" si="8"/>
        <v>114386</v>
      </c>
      <c r="X13" s="246">
        <f t="shared" si="8"/>
        <v>105691</v>
      </c>
      <c r="Y13" s="247">
        <f t="shared" si="8"/>
        <v>97385</v>
      </c>
    </row>
    <row r="14" spans="1:25" s="543" customFormat="1" ht="11.25">
      <c r="A14" s="539" t="s">
        <v>23</v>
      </c>
      <c r="B14" s="763"/>
      <c r="C14" s="887"/>
      <c r="D14" s="887">
        <v>55403</v>
      </c>
      <c r="E14" s="887">
        <v>50469</v>
      </c>
      <c r="F14" s="887">
        <v>49780</v>
      </c>
      <c r="G14" s="887">
        <v>55812</v>
      </c>
      <c r="H14" s="887">
        <v>42246</v>
      </c>
      <c r="I14" s="1214">
        <v>43536</v>
      </c>
      <c r="J14" s="767"/>
      <c r="K14" s="888"/>
      <c r="L14" s="888">
        <v>65914</v>
      </c>
      <c r="M14" s="888">
        <v>61452</v>
      </c>
      <c r="N14" s="888">
        <v>53430</v>
      </c>
      <c r="O14" s="888">
        <v>57011</v>
      </c>
      <c r="P14" s="888">
        <v>49514</v>
      </c>
      <c r="Q14" s="1589">
        <v>47295</v>
      </c>
      <c r="R14" s="1586"/>
      <c r="S14" s="246"/>
      <c r="T14" s="246">
        <f t="shared" si="5"/>
        <v>121317</v>
      </c>
      <c r="U14" s="246">
        <f t="shared" si="7"/>
        <v>111921</v>
      </c>
      <c r="V14" s="246">
        <f t="shared" si="8"/>
        <v>103210</v>
      </c>
      <c r="W14" s="246">
        <f t="shared" si="8"/>
        <v>112823</v>
      </c>
      <c r="X14" s="246">
        <f t="shared" si="8"/>
        <v>91760</v>
      </c>
      <c r="Y14" s="247">
        <f t="shared" si="8"/>
        <v>90831</v>
      </c>
    </row>
    <row r="15" spans="1:25" s="543" customFormat="1" ht="12" thickBot="1">
      <c r="A15" s="539" t="s">
        <v>24</v>
      </c>
      <c r="B15" s="772"/>
      <c r="C15" s="1213"/>
      <c r="D15" s="1213">
        <v>49217</v>
      </c>
      <c r="E15" s="1213">
        <v>47423</v>
      </c>
      <c r="F15" s="1213">
        <v>47723</v>
      </c>
      <c r="G15" s="1213">
        <v>49446</v>
      </c>
      <c r="H15" s="1213">
        <v>47896</v>
      </c>
      <c r="I15" s="1215">
        <v>44341</v>
      </c>
      <c r="J15" s="777"/>
      <c r="K15" s="133"/>
      <c r="L15" s="133">
        <v>47536</v>
      </c>
      <c r="M15" s="133">
        <v>48829</v>
      </c>
      <c r="N15" s="1216">
        <v>53582</v>
      </c>
      <c r="O15" s="1216">
        <v>50462</v>
      </c>
      <c r="P15" s="1216">
        <v>46246</v>
      </c>
      <c r="Q15" s="1590">
        <v>41693</v>
      </c>
      <c r="R15" s="1587"/>
      <c r="S15" s="520"/>
      <c r="T15" s="520">
        <f t="shared" si="5"/>
        <v>96753</v>
      </c>
      <c r="U15" s="520">
        <f t="shared" si="7"/>
        <v>96252</v>
      </c>
      <c r="V15" s="520">
        <f t="shared" si="8"/>
        <v>101305</v>
      </c>
      <c r="W15" s="520">
        <f t="shared" si="8"/>
        <v>99908</v>
      </c>
      <c r="X15" s="520">
        <f t="shared" si="8"/>
        <v>94142</v>
      </c>
      <c r="Y15" s="1218">
        <f t="shared" si="8"/>
        <v>86034</v>
      </c>
    </row>
    <row r="16" spans="1:25" s="547" customFormat="1" ht="11.25">
      <c r="A16" s="546" t="s">
        <v>113</v>
      </c>
      <c r="B16" s="1050">
        <f>SUM(C16-D16)/D16</f>
        <v>0.0859461542815405</v>
      </c>
      <c r="C16" s="1212">
        <f>SUM(C4:C10)</f>
        <v>402911</v>
      </c>
      <c r="D16" s="1212">
        <f aca="true" t="shared" si="9" ref="D16:I16">SUM(D4:D10)</f>
        <v>371023</v>
      </c>
      <c r="E16" s="1212">
        <f t="shared" si="9"/>
        <v>364182</v>
      </c>
      <c r="F16" s="1212">
        <f t="shared" si="9"/>
        <v>363410</v>
      </c>
      <c r="G16" s="1212">
        <f t="shared" si="9"/>
        <v>348175</v>
      </c>
      <c r="H16" s="1212">
        <f t="shared" si="9"/>
        <v>321067</v>
      </c>
      <c r="I16" s="1212">
        <f t="shared" si="9"/>
        <v>310548</v>
      </c>
      <c r="J16" s="1050">
        <f>SUM(K16-L16)/L16</f>
        <v>0.08475992146129589</v>
      </c>
      <c r="K16" s="1212">
        <f>SUM(K4:K10)</f>
        <v>455789</v>
      </c>
      <c r="L16" s="1212">
        <f aca="true" t="shared" si="10" ref="L16:Q16">SUM(L4:L10)</f>
        <v>420175</v>
      </c>
      <c r="M16" s="1212">
        <f t="shared" si="10"/>
        <v>384401</v>
      </c>
      <c r="N16" s="1212">
        <f t="shared" si="10"/>
        <v>349056</v>
      </c>
      <c r="O16" s="1212">
        <f t="shared" si="10"/>
        <v>337645</v>
      </c>
      <c r="P16" s="1212">
        <f t="shared" si="10"/>
        <v>312259</v>
      </c>
      <c r="Q16" s="1212">
        <f t="shared" si="10"/>
        <v>286037</v>
      </c>
      <c r="R16" s="1050">
        <f>SUM(S16-T16)/T16</f>
        <v>0.08531619139583264</v>
      </c>
      <c r="S16" s="332">
        <f>+C16+K16</f>
        <v>858700</v>
      </c>
      <c r="T16" s="332">
        <f>+D16+L16</f>
        <v>791198</v>
      </c>
      <c r="U16" s="332">
        <f>+E16+M16</f>
        <v>748583</v>
      </c>
      <c r="V16" s="332">
        <f t="shared" si="8"/>
        <v>712466</v>
      </c>
      <c r="W16" s="332">
        <f t="shared" si="8"/>
        <v>685820</v>
      </c>
      <c r="X16" s="332">
        <f t="shared" si="8"/>
        <v>633326</v>
      </c>
      <c r="Y16" s="589">
        <f t="shared" si="8"/>
        <v>596585</v>
      </c>
    </row>
    <row r="17" spans="1:25" s="547" customFormat="1" ht="12" thickBot="1">
      <c r="A17" s="548" t="s">
        <v>26</v>
      </c>
      <c r="B17" s="878">
        <f>SUM(C17-D17)/D17</f>
        <v>0.06680429040078857</v>
      </c>
      <c r="C17" s="891">
        <f>AVERAGE(C4:C15)</f>
        <v>57558.71428571428</v>
      </c>
      <c r="D17" s="891">
        <f aca="true" t="shared" si="11" ref="D17:I17">AVERAGE(D4:D15)</f>
        <v>53954.333333333336</v>
      </c>
      <c r="E17" s="891">
        <f t="shared" si="11"/>
        <v>51628.666666666664</v>
      </c>
      <c r="F17" s="891">
        <f t="shared" si="11"/>
        <v>50987.583333333336</v>
      </c>
      <c r="G17" s="891">
        <f t="shared" si="11"/>
        <v>51210.25</v>
      </c>
      <c r="H17" s="891">
        <f t="shared" si="11"/>
        <v>46120.166666666664</v>
      </c>
      <c r="I17" s="993">
        <f t="shared" si="11"/>
        <v>44824.083333333336</v>
      </c>
      <c r="J17" s="878">
        <f>SUM(K17-L17)/L17</f>
        <v>0.09193183526476327</v>
      </c>
      <c r="K17" s="891">
        <f>AVERAGE(K4:K15)</f>
        <v>65112.71428571428</v>
      </c>
      <c r="L17" s="891">
        <f aca="true" t="shared" si="12" ref="L17:Q17">AVERAGE(L4:L15)</f>
        <v>59630.75</v>
      </c>
      <c r="M17" s="891">
        <f t="shared" si="12"/>
        <v>55780.5</v>
      </c>
      <c r="N17" s="891">
        <f t="shared" si="12"/>
        <v>53559.083333333336</v>
      </c>
      <c r="O17" s="891">
        <f t="shared" si="12"/>
        <v>50981.083333333336</v>
      </c>
      <c r="P17" s="891">
        <f t="shared" si="12"/>
        <v>46282.916666666664</v>
      </c>
      <c r="Q17" s="993">
        <f t="shared" si="12"/>
        <v>43059.5</v>
      </c>
      <c r="R17" s="878">
        <f>SUM(S17-T17)/T17</f>
        <v>0.07175899563437184</v>
      </c>
      <c r="S17" s="335">
        <f>AVERAGE(S4:S8)</f>
        <v>118576.2</v>
      </c>
      <c r="T17" s="335">
        <f aca="true" t="shared" si="13" ref="T17:Y17">AVERAGE(T4:T8)</f>
        <v>110637</v>
      </c>
      <c r="U17" s="335">
        <f t="shared" si="13"/>
        <v>104776.4</v>
      </c>
      <c r="V17" s="335">
        <f t="shared" si="13"/>
        <v>104575.8</v>
      </c>
      <c r="W17" s="335">
        <f t="shared" si="13"/>
        <v>94456.2</v>
      </c>
      <c r="X17" s="335">
        <f t="shared" si="13"/>
        <v>87056.6</v>
      </c>
      <c r="Y17" s="837">
        <f t="shared" si="13"/>
        <v>81749.4</v>
      </c>
    </row>
  </sheetData>
  <mergeCells count="5">
    <mergeCell ref="A1:A2"/>
    <mergeCell ref="U1:Y1"/>
    <mergeCell ref="B3:I3"/>
    <mergeCell ref="R3:Y3"/>
    <mergeCell ref="J3:Q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17"/>
  <sheetViews>
    <sheetView workbookViewId="0" topLeftCell="Q1">
      <selection activeCell="X19" sqref="X19"/>
    </sheetView>
  </sheetViews>
  <sheetFormatPr defaultColWidth="9.140625" defaultRowHeight="12.75"/>
  <cols>
    <col min="1" max="1" width="14.421875" style="0" customWidth="1"/>
    <col min="2" max="2" width="5.28125" style="0" customWidth="1"/>
    <col min="3" max="9" width="5.7109375" style="270" customWidth="1"/>
    <col min="10" max="10" width="5.8515625" style="270" customWidth="1"/>
    <col min="11" max="17" width="5.7109375" style="270" customWidth="1"/>
    <col min="18" max="18" width="5.8515625" style="270" customWidth="1"/>
    <col min="19" max="20" width="6.57421875" style="270" customWidth="1"/>
    <col min="21" max="21" width="5.7109375" style="270" customWidth="1"/>
    <col min="22" max="25" width="6.57421875" style="270" customWidth="1"/>
    <col min="26" max="26" width="5.8515625" style="270" customWidth="1"/>
    <col min="27" max="27" width="6.57421875" style="270" customWidth="1"/>
    <col min="28" max="28" width="7.8515625" style="270" customWidth="1"/>
    <col min="29" max="29" width="6.57421875" style="270" customWidth="1"/>
    <col min="30" max="32" width="7.8515625" style="270" customWidth="1"/>
    <col min="33" max="33" width="6.57421875" style="270" customWidth="1"/>
  </cols>
  <sheetData>
    <row r="1" spans="1:33" s="142" customFormat="1" ht="13.5" thickBot="1">
      <c r="A1" s="1901" t="s">
        <v>130</v>
      </c>
      <c r="B1" s="1903"/>
      <c r="C1" s="2042"/>
      <c r="D1" s="2042"/>
      <c r="E1" s="2042"/>
      <c r="F1" s="2042"/>
      <c r="G1" s="2042"/>
      <c r="H1" s="2042"/>
      <c r="I1" s="2042"/>
      <c r="J1" s="2043"/>
      <c r="K1" s="2043"/>
      <c r="L1" s="2043"/>
      <c r="M1" s="2043"/>
      <c r="N1" s="2043"/>
      <c r="O1" s="2043"/>
      <c r="P1" s="2043"/>
      <c r="Q1" s="2043"/>
      <c r="R1" s="2042"/>
      <c r="S1" s="2042"/>
      <c r="T1" s="2042"/>
      <c r="U1" s="2042"/>
      <c r="V1" s="2042"/>
      <c r="W1" s="2042"/>
      <c r="X1" s="2042"/>
      <c r="Y1" s="2042"/>
      <c r="Z1" s="2042"/>
      <c r="AA1" s="2042"/>
      <c r="AB1" s="2042"/>
      <c r="AC1" s="2042"/>
      <c r="AD1" s="2042"/>
      <c r="AE1" s="2042"/>
      <c r="AF1" s="2042"/>
      <c r="AG1" s="2044"/>
    </row>
    <row r="2" spans="1:33" s="142" customFormat="1" ht="23.25" thickBot="1">
      <c r="A2" s="2041"/>
      <c r="B2" s="554" t="s">
        <v>44</v>
      </c>
      <c r="C2" s="466">
        <v>2008</v>
      </c>
      <c r="D2" s="466">
        <v>2007</v>
      </c>
      <c r="E2" s="551">
        <v>2006</v>
      </c>
      <c r="F2" s="256">
        <v>2005</v>
      </c>
      <c r="G2" s="256">
        <v>2004</v>
      </c>
      <c r="H2" s="256">
        <v>2003</v>
      </c>
      <c r="I2" s="1275">
        <v>2002</v>
      </c>
      <c r="J2" s="496" t="s">
        <v>44</v>
      </c>
      <c r="K2" s="112">
        <v>2008</v>
      </c>
      <c r="L2" s="112">
        <v>2007</v>
      </c>
      <c r="M2" s="112">
        <v>2006</v>
      </c>
      <c r="N2" s="112">
        <v>2005</v>
      </c>
      <c r="O2" s="112">
        <v>2004</v>
      </c>
      <c r="P2" s="112">
        <v>2003</v>
      </c>
      <c r="Q2" s="113">
        <v>2002</v>
      </c>
      <c r="R2" s="1264" t="s">
        <v>44</v>
      </c>
      <c r="S2" s="114">
        <v>2008</v>
      </c>
      <c r="T2" s="114">
        <v>2007</v>
      </c>
      <c r="U2" s="114">
        <v>2006</v>
      </c>
      <c r="V2" s="114">
        <v>2005</v>
      </c>
      <c r="W2" s="114">
        <v>2004</v>
      </c>
      <c r="X2" s="114">
        <v>2003</v>
      </c>
      <c r="Y2" s="134">
        <v>2002</v>
      </c>
      <c r="Z2" s="509" t="s">
        <v>44</v>
      </c>
      <c r="AA2" s="477">
        <v>2008</v>
      </c>
      <c r="AB2" s="477">
        <v>2007</v>
      </c>
      <c r="AC2" s="477">
        <v>2006</v>
      </c>
      <c r="AD2" s="477">
        <v>2005</v>
      </c>
      <c r="AE2" s="477">
        <v>2004</v>
      </c>
      <c r="AF2" s="477">
        <v>2003</v>
      </c>
      <c r="AG2" s="478">
        <v>2002</v>
      </c>
    </row>
    <row r="3" spans="1:33" s="142" customFormat="1" ht="13.5" thickBot="1">
      <c r="A3" s="1948"/>
      <c r="B3" s="1890" t="s">
        <v>115</v>
      </c>
      <c r="C3" s="2039"/>
      <c r="D3" s="2039"/>
      <c r="E3" s="2039"/>
      <c r="F3" s="2039"/>
      <c r="G3" s="2039"/>
      <c r="H3" s="2039"/>
      <c r="I3" s="2040"/>
      <c r="J3" s="1891" t="s">
        <v>121</v>
      </c>
      <c r="K3" s="2045"/>
      <c r="L3" s="2045"/>
      <c r="M3" s="2045"/>
      <c r="N3" s="2045"/>
      <c r="O3" s="2045"/>
      <c r="P3" s="2045"/>
      <c r="Q3" s="2046"/>
      <c r="R3" s="1890" t="s">
        <v>116</v>
      </c>
      <c r="S3" s="2039"/>
      <c r="T3" s="2039"/>
      <c r="U3" s="2039"/>
      <c r="V3" s="2039"/>
      <c r="W3" s="2039"/>
      <c r="X3" s="2047"/>
      <c r="Y3" s="628"/>
      <c r="Z3" s="1890" t="s">
        <v>131</v>
      </c>
      <c r="AA3" s="2039"/>
      <c r="AB3" s="2039"/>
      <c r="AC3" s="2039"/>
      <c r="AD3" s="2039"/>
      <c r="AE3" s="2039"/>
      <c r="AF3" s="2039"/>
      <c r="AG3" s="2040"/>
    </row>
    <row r="4" spans="1:33" s="142" customFormat="1" ht="11.25">
      <c r="A4" s="696" t="s">
        <v>13</v>
      </c>
      <c r="B4" s="804">
        <f>SUM(C4-D4)/D4</f>
        <v>0.0029226272881095216</v>
      </c>
      <c r="C4" s="680">
        <v>6520</v>
      </c>
      <c r="D4" s="680">
        <v>6501</v>
      </c>
      <c r="E4" s="680">
        <v>4405</v>
      </c>
      <c r="F4" s="483">
        <v>8799</v>
      </c>
      <c r="G4" s="483">
        <v>7469</v>
      </c>
      <c r="H4" s="483">
        <v>8357</v>
      </c>
      <c r="I4" s="1651">
        <v>6248</v>
      </c>
      <c r="J4" s="141">
        <f>SUM(K4-L4)/L4</f>
        <v>-0.11936044490789016</v>
      </c>
      <c r="K4" s="948">
        <v>12668</v>
      </c>
      <c r="L4" s="948">
        <v>14385</v>
      </c>
      <c r="M4" s="948">
        <v>8546</v>
      </c>
      <c r="N4" s="948">
        <v>14058</v>
      </c>
      <c r="O4" s="794">
        <v>11916</v>
      </c>
      <c r="P4" s="794">
        <v>13951</v>
      </c>
      <c r="Q4" s="949">
        <v>12838</v>
      </c>
      <c r="R4" s="175">
        <f>SUM(S4-T4)/T4</f>
        <v>-0.08129847744900891</v>
      </c>
      <c r="S4" s="197">
        <f aca="true" t="shared" si="0" ref="S4:Y4">+C4+K4</f>
        <v>19188</v>
      </c>
      <c r="T4" s="197">
        <f t="shared" si="0"/>
        <v>20886</v>
      </c>
      <c r="U4" s="197">
        <f t="shared" si="0"/>
        <v>12951</v>
      </c>
      <c r="V4" s="197">
        <f t="shared" si="0"/>
        <v>22857</v>
      </c>
      <c r="W4" s="197">
        <f t="shared" si="0"/>
        <v>19385</v>
      </c>
      <c r="X4" s="197">
        <f t="shared" si="0"/>
        <v>22308</v>
      </c>
      <c r="Y4" s="802">
        <f t="shared" si="0"/>
        <v>19086</v>
      </c>
      <c r="Z4" s="1652">
        <f>SUM(AA4-AB4)/AB4</f>
        <v>-0.15953774681419627</v>
      </c>
      <c r="AA4" s="719">
        <v>239346</v>
      </c>
      <c r="AB4" s="719">
        <v>284779</v>
      </c>
      <c r="AC4" s="719">
        <v>172827</v>
      </c>
      <c r="AD4" s="719">
        <v>286137</v>
      </c>
      <c r="AE4" s="1189">
        <v>235421</v>
      </c>
      <c r="AF4" s="1189">
        <v>300306</v>
      </c>
      <c r="AG4" s="1653">
        <v>227023</v>
      </c>
    </row>
    <row r="5" spans="1:33" s="142" customFormat="1" ht="11.25">
      <c r="A5" s="539" t="s">
        <v>14</v>
      </c>
      <c r="B5" s="806">
        <f>SUM(C5-D5)/D5</f>
        <v>0.34354777312523793</v>
      </c>
      <c r="C5" s="265">
        <v>7059</v>
      </c>
      <c r="D5" s="265">
        <v>5254</v>
      </c>
      <c r="E5" s="265">
        <v>4540</v>
      </c>
      <c r="F5" s="223">
        <v>7507</v>
      </c>
      <c r="G5" s="223">
        <v>7900</v>
      </c>
      <c r="H5" s="223">
        <v>7596</v>
      </c>
      <c r="I5" s="1227">
        <v>7189</v>
      </c>
      <c r="J5" s="119">
        <f>SUM(K5-L5)/L5</f>
        <v>0.34489962757743664</v>
      </c>
      <c r="K5" s="38">
        <v>14806</v>
      </c>
      <c r="L5" s="38">
        <v>11009</v>
      </c>
      <c r="M5" s="38">
        <v>6786</v>
      </c>
      <c r="N5" s="38">
        <v>10160</v>
      </c>
      <c r="O5" s="123">
        <v>12754</v>
      </c>
      <c r="P5" s="123">
        <v>12454</v>
      </c>
      <c r="Q5" s="669">
        <v>12831</v>
      </c>
      <c r="R5" s="120">
        <f>SUM(S5-T5)/T5</f>
        <v>0.3444628912254811</v>
      </c>
      <c r="S5" s="121">
        <f>+C5+K5</f>
        <v>21865</v>
      </c>
      <c r="T5" s="121">
        <f aca="true" t="shared" si="1" ref="T5:T15">+D5+L5</f>
        <v>16263</v>
      </c>
      <c r="U5" s="121">
        <f aca="true" t="shared" si="2" ref="U5:U15">+E5+M5</f>
        <v>11326</v>
      </c>
      <c r="V5" s="121">
        <f aca="true" t="shared" si="3" ref="V5:V15">+F5+N5</f>
        <v>17667</v>
      </c>
      <c r="W5" s="121">
        <f aca="true" t="shared" si="4" ref="W5:W15">+G5+O5</f>
        <v>20654</v>
      </c>
      <c r="X5" s="121">
        <f aca="true" t="shared" si="5" ref="X5:X15">+H5+P5</f>
        <v>20050</v>
      </c>
      <c r="Y5" s="803">
        <f aca="true" t="shared" si="6" ref="Y5:Y15">+I5+Q5</f>
        <v>20020</v>
      </c>
      <c r="Z5" s="1654">
        <f>SUM(AA5-AB5)/AB5</f>
        <v>0.19721438907647212</v>
      </c>
      <c r="AA5" s="508">
        <v>258129</v>
      </c>
      <c r="AB5" s="508">
        <v>215608</v>
      </c>
      <c r="AC5" s="508">
        <v>152736</v>
      </c>
      <c r="AD5" s="508">
        <v>215087</v>
      </c>
      <c r="AE5" s="1190">
        <v>246375</v>
      </c>
      <c r="AF5" s="1190">
        <v>266812</v>
      </c>
      <c r="AG5" s="1655">
        <v>226940</v>
      </c>
    </row>
    <row r="6" spans="1:33" s="142" customFormat="1" ht="11.25">
      <c r="A6" s="539" t="s">
        <v>15</v>
      </c>
      <c r="B6" s="806">
        <f>SUM(C6-D6)/D6</f>
        <v>0.06767261088248742</v>
      </c>
      <c r="C6" s="265">
        <v>7005</v>
      </c>
      <c r="D6" s="265">
        <v>6561</v>
      </c>
      <c r="E6" s="265">
        <v>4874</v>
      </c>
      <c r="F6" s="223">
        <v>8724</v>
      </c>
      <c r="G6" s="223">
        <v>9748</v>
      </c>
      <c r="H6" s="223">
        <v>7251</v>
      </c>
      <c r="I6" s="1227">
        <v>7698</v>
      </c>
      <c r="J6" s="119">
        <f>SUM(K6-L6)/L6</f>
        <v>-0.28387410377931704</v>
      </c>
      <c r="K6" s="38">
        <v>11786</v>
      </c>
      <c r="L6" s="38">
        <v>16458</v>
      </c>
      <c r="M6" s="38">
        <v>7267</v>
      </c>
      <c r="N6" s="38">
        <v>15161</v>
      </c>
      <c r="O6" s="123">
        <v>12939</v>
      </c>
      <c r="P6" s="123">
        <v>11370</v>
      </c>
      <c r="Q6" s="669">
        <v>12214</v>
      </c>
      <c r="R6" s="120">
        <f>SUM(S6-T6)/T6</f>
        <v>-0.18367435596681003</v>
      </c>
      <c r="S6" s="121">
        <f>+C6+K6</f>
        <v>18791</v>
      </c>
      <c r="T6" s="121">
        <f t="shared" si="1"/>
        <v>23019</v>
      </c>
      <c r="U6" s="121">
        <f t="shared" si="2"/>
        <v>12141</v>
      </c>
      <c r="V6" s="121">
        <f t="shared" si="3"/>
        <v>23885</v>
      </c>
      <c r="W6" s="121">
        <f t="shared" si="4"/>
        <v>22687</v>
      </c>
      <c r="X6" s="121">
        <f t="shared" si="5"/>
        <v>18621</v>
      </c>
      <c r="Y6" s="803">
        <f t="shared" si="6"/>
        <v>19912</v>
      </c>
      <c r="Z6" s="1654">
        <f>SUM(AA6-AB6)/AB6</f>
        <v>-0.19281441278979036</v>
      </c>
      <c r="AA6" s="508">
        <v>232756</v>
      </c>
      <c r="AB6" s="508">
        <v>288355</v>
      </c>
      <c r="AC6" s="508">
        <v>167572</v>
      </c>
      <c r="AD6" s="508">
        <v>295279</v>
      </c>
      <c r="AE6" s="1190">
        <v>265187</v>
      </c>
      <c r="AF6" s="1190">
        <v>229480</v>
      </c>
      <c r="AG6" s="1655">
        <v>229433</v>
      </c>
    </row>
    <row r="7" spans="1:33" s="142" customFormat="1" ht="11.25">
      <c r="A7" s="539" t="s">
        <v>16</v>
      </c>
      <c r="B7" s="806">
        <f>SUM(C7-D7)/D7</f>
        <v>0.11430503889076767</v>
      </c>
      <c r="C7" s="265">
        <v>6590</v>
      </c>
      <c r="D7" s="265">
        <v>5914</v>
      </c>
      <c r="E7" s="265">
        <v>5640</v>
      </c>
      <c r="F7" s="223">
        <v>7645</v>
      </c>
      <c r="G7" s="223">
        <v>9806</v>
      </c>
      <c r="H7" s="223">
        <v>8510</v>
      </c>
      <c r="I7" s="1227">
        <v>7094</v>
      </c>
      <c r="J7" s="119">
        <f>SUM(K7-L7)/L7</f>
        <v>-0.03175698998964446</v>
      </c>
      <c r="K7" s="38">
        <v>14025</v>
      </c>
      <c r="L7" s="38">
        <v>14485</v>
      </c>
      <c r="M7" s="38">
        <v>8611</v>
      </c>
      <c r="N7" s="38">
        <v>11040</v>
      </c>
      <c r="O7" s="123">
        <v>17984</v>
      </c>
      <c r="P7" s="123">
        <v>12942</v>
      </c>
      <c r="Q7" s="669">
        <v>13290</v>
      </c>
      <c r="R7" s="120">
        <f>SUM(S7-T7)/T7</f>
        <v>0.010588754350703465</v>
      </c>
      <c r="S7" s="121">
        <f>+C7+K7</f>
        <v>20615</v>
      </c>
      <c r="T7" s="121">
        <f t="shared" si="1"/>
        <v>20399</v>
      </c>
      <c r="U7" s="121">
        <f t="shared" si="2"/>
        <v>14251</v>
      </c>
      <c r="V7" s="121">
        <f t="shared" si="3"/>
        <v>18685</v>
      </c>
      <c r="W7" s="121">
        <f t="shared" si="4"/>
        <v>27790</v>
      </c>
      <c r="X7" s="121">
        <f t="shared" si="5"/>
        <v>21452</v>
      </c>
      <c r="Y7" s="803">
        <f t="shared" si="6"/>
        <v>20384</v>
      </c>
      <c r="Z7" s="1654">
        <f>SUM(AA7-AB7)/AB7</f>
        <v>-0.06699059042809043</v>
      </c>
      <c r="AA7" s="508">
        <v>248285</v>
      </c>
      <c r="AB7" s="508">
        <v>266112</v>
      </c>
      <c r="AC7" s="508">
        <v>187761</v>
      </c>
      <c r="AD7" s="508">
        <v>240609</v>
      </c>
      <c r="AE7" s="1190">
        <v>340312</v>
      </c>
      <c r="AF7" s="1190">
        <v>250093</v>
      </c>
      <c r="AG7" s="1655">
        <v>240706</v>
      </c>
    </row>
    <row r="8" spans="1:33" s="142" customFormat="1" ht="11.25">
      <c r="A8" s="539" t="s">
        <v>17</v>
      </c>
      <c r="B8" s="806">
        <f>SUM(C8-D8)/D8</f>
        <v>0.2115722827998593</v>
      </c>
      <c r="C8" s="265">
        <v>6889</v>
      </c>
      <c r="D8" s="265">
        <v>5686</v>
      </c>
      <c r="E8" s="265">
        <v>5272</v>
      </c>
      <c r="F8" s="223">
        <v>8062</v>
      </c>
      <c r="G8" s="223">
        <v>9702</v>
      </c>
      <c r="H8" s="223">
        <v>8088</v>
      </c>
      <c r="I8" s="1227">
        <v>8488</v>
      </c>
      <c r="J8" s="119">
        <f>SUM(K8-L8)/L8</f>
        <v>-0.010082846316871107</v>
      </c>
      <c r="K8" s="38">
        <v>15414</v>
      </c>
      <c r="L8" s="38">
        <v>15571</v>
      </c>
      <c r="M8" s="38">
        <v>9162</v>
      </c>
      <c r="N8" s="38">
        <v>16448</v>
      </c>
      <c r="O8" s="123">
        <v>12834</v>
      </c>
      <c r="P8" s="123">
        <v>14389</v>
      </c>
      <c r="Q8" s="669">
        <v>13903</v>
      </c>
      <c r="R8" s="120">
        <f>SUM(S8-T8)/T8</f>
        <v>0.04920731994166627</v>
      </c>
      <c r="S8" s="121">
        <f>+C8+K8</f>
        <v>22303</v>
      </c>
      <c r="T8" s="121">
        <f t="shared" si="1"/>
        <v>21257</v>
      </c>
      <c r="U8" s="121">
        <f t="shared" si="2"/>
        <v>14434</v>
      </c>
      <c r="V8" s="121">
        <f t="shared" si="3"/>
        <v>24510</v>
      </c>
      <c r="W8" s="121">
        <f t="shared" si="4"/>
        <v>22536</v>
      </c>
      <c r="X8" s="121">
        <f t="shared" si="5"/>
        <v>22477</v>
      </c>
      <c r="Y8" s="803">
        <f t="shared" si="6"/>
        <v>22391</v>
      </c>
      <c r="Z8" s="1654">
        <f>SUM(AA8-AB8)/AB8</f>
        <v>-0.02411714663239633</v>
      </c>
      <c r="AA8" s="508">
        <v>269573</v>
      </c>
      <c r="AB8" s="508">
        <v>276235</v>
      </c>
      <c r="AC8" s="508">
        <v>182977</v>
      </c>
      <c r="AD8" s="508">
        <v>272094</v>
      </c>
      <c r="AE8" s="1190">
        <v>270866</v>
      </c>
      <c r="AF8" s="1190">
        <v>263480</v>
      </c>
      <c r="AG8" s="1655">
        <v>259707</v>
      </c>
    </row>
    <row r="9" spans="1:33" s="142" customFormat="1" ht="11.25">
      <c r="A9" s="539" t="s">
        <v>18</v>
      </c>
      <c r="B9" s="806"/>
      <c r="C9" s="223"/>
      <c r="D9" s="223">
        <v>7227</v>
      </c>
      <c r="E9" s="223">
        <v>5542</v>
      </c>
      <c r="F9" s="223">
        <v>9325</v>
      </c>
      <c r="G9" s="223">
        <v>9470</v>
      </c>
      <c r="H9" s="223">
        <v>8045</v>
      </c>
      <c r="I9" s="1227">
        <v>6468</v>
      </c>
      <c r="J9" s="119"/>
      <c r="K9" s="123"/>
      <c r="L9" s="123">
        <v>15238</v>
      </c>
      <c r="M9" s="123">
        <v>9940</v>
      </c>
      <c r="N9" s="123">
        <v>14348</v>
      </c>
      <c r="O9" s="123">
        <v>11792</v>
      </c>
      <c r="P9" s="123">
        <v>12658</v>
      </c>
      <c r="Q9" s="669">
        <v>11010</v>
      </c>
      <c r="R9" s="120"/>
      <c r="S9" s="121"/>
      <c r="T9" s="121">
        <f t="shared" si="1"/>
        <v>22465</v>
      </c>
      <c r="U9" s="121">
        <f t="shared" si="2"/>
        <v>15482</v>
      </c>
      <c r="V9" s="121">
        <f t="shared" si="3"/>
        <v>23673</v>
      </c>
      <c r="W9" s="121">
        <f t="shared" si="4"/>
        <v>21262</v>
      </c>
      <c r="X9" s="121">
        <f t="shared" si="5"/>
        <v>20703</v>
      </c>
      <c r="Y9" s="803">
        <f t="shared" si="6"/>
        <v>17478</v>
      </c>
      <c r="Z9" s="1654"/>
      <c r="AA9" s="1190"/>
      <c r="AB9" s="1190">
        <v>291696</v>
      </c>
      <c r="AC9" s="1190">
        <v>198941</v>
      </c>
      <c r="AD9" s="1190">
        <v>290376</v>
      </c>
      <c r="AE9" s="1190">
        <v>248878</v>
      </c>
      <c r="AF9" s="1190">
        <v>243940</v>
      </c>
      <c r="AG9" s="1655">
        <v>195221</v>
      </c>
    </row>
    <row r="10" spans="1:33" s="142" customFormat="1" ht="11.25">
      <c r="A10" s="539" t="s">
        <v>19</v>
      </c>
      <c r="B10" s="806"/>
      <c r="C10" s="223"/>
      <c r="D10" s="223">
        <v>6018</v>
      </c>
      <c r="E10" s="223">
        <v>6190</v>
      </c>
      <c r="F10" s="223">
        <v>7801</v>
      </c>
      <c r="G10" s="223">
        <v>10006</v>
      </c>
      <c r="H10" s="223">
        <v>9610</v>
      </c>
      <c r="I10" s="1227">
        <v>9207</v>
      </c>
      <c r="J10" s="119"/>
      <c r="K10" s="123"/>
      <c r="L10" s="123">
        <v>12772</v>
      </c>
      <c r="M10" s="123">
        <v>8452</v>
      </c>
      <c r="N10" s="123">
        <v>13077</v>
      </c>
      <c r="O10" s="123">
        <v>12118</v>
      </c>
      <c r="P10" s="123">
        <v>12689</v>
      </c>
      <c r="Q10" s="669">
        <v>13493</v>
      </c>
      <c r="R10" s="120"/>
      <c r="S10" s="121"/>
      <c r="T10" s="121">
        <f t="shared" si="1"/>
        <v>18790</v>
      </c>
      <c r="U10" s="121">
        <f t="shared" si="2"/>
        <v>14642</v>
      </c>
      <c r="V10" s="121">
        <f t="shared" si="3"/>
        <v>20878</v>
      </c>
      <c r="W10" s="121">
        <f t="shared" si="4"/>
        <v>22124</v>
      </c>
      <c r="X10" s="121">
        <f t="shared" si="5"/>
        <v>22299</v>
      </c>
      <c r="Y10" s="803">
        <f t="shared" si="6"/>
        <v>22700</v>
      </c>
      <c r="Z10" s="1654"/>
      <c r="AA10" s="508"/>
      <c r="AB10" s="508">
        <v>229022</v>
      </c>
      <c r="AC10" s="1190">
        <v>194345</v>
      </c>
      <c r="AD10" s="1190">
        <v>252759</v>
      </c>
      <c r="AE10" s="1190">
        <v>269004</v>
      </c>
      <c r="AF10" s="1190">
        <v>258036</v>
      </c>
      <c r="AG10" s="1655">
        <v>269695</v>
      </c>
    </row>
    <row r="11" spans="1:33" s="142" customFormat="1" ht="11.25">
      <c r="A11" s="539" t="s">
        <v>20</v>
      </c>
      <c r="B11" s="806"/>
      <c r="C11" s="223"/>
      <c r="D11" s="223">
        <v>6829</v>
      </c>
      <c r="E11" s="223">
        <v>6070</v>
      </c>
      <c r="F11" s="223">
        <v>7160</v>
      </c>
      <c r="G11" s="223">
        <v>8956</v>
      </c>
      <c r="H11" s="223">
        <v>7952</v>
      </c>
      <c r="I11" s="1227">
        <v>7941</v>
      </c>
      <c r="J11" s="119"/>
      <c r="K11" s="123"/>
      <c r="L11" s="123">
        <v>15602</v>
      </c>
      <c r="M11" s="123">
        <v>7075</v>
      </c>
      <c r="N11" s="123">
        <v>14115</v>
      </c>
      <c r="O11" s="123">
        <v>13937</v>
      </c>
      <c r="P11" s="123">
        <v>11337</v>
      </c>
      <c r="Q11" s="669">
        <v>11413</v>
      </c>
      <c r="R11" s="120"/>
      <c r="S11" s="121"/>
      <c r="T11" s="121">
        <f t="shared" si="1"/>
        <v>22431</v>
      </c>
      <c r="U11" s="121">
        <f t="shared" si="2"/>
        <v>13145</v>
      </c>
      <c r="V11" s="121">
        <f t="shared" si="3"/>
        <v>21275</v>
      </c>
      <c r="W11" s="121">
        <f t="shared" si="4"/>
        <v>22893</v>
      </c>
      <c r="X11" s="121">
        <f t="shared" si="5"/>
        <v>19289</v>
      </c>
      <c r="Y11" s="803">
        <f t="shared" si="6"/>
        <v>19354</v>
      </c>
      <c r="Z11" s="1654"/>
      <c r="AA11" s="508"/>
      <c r="AB11" s="508">
        <v>268666</v>
      </c>
      <c r="AC11" s="1190">
        <v>177446</v>
      </c>
      <c r="AD11" s="1190">
        <v>278795</v>
      </c>
      <c r="AE11" s="1190">
        <v>270686</v>
      </c>
      <c r="AF11" s="1190">
        <v>229180</v>
      </c>
      <c r="AG11" s="1655">
        <v>229673</v>
      </c>
    </row>
    <row r="12" spans="1:33" s="142" customFormat="1" ht="11.25">
      <c r="A12" s="539" t="s">
        <v>21</v>
      </c>
      <c r="B12" s="806"/>
      <c r="C12" s="223"/>
      <c r="D12" s="223">
        <v>6223</v>
      </c>
      <c r="E12" s="223">
        <v>6621</v>
      </c>
      <c r="F12" s="223">
        <v>231</v>
      </c>
      <c r="G12" s="223">
        <v>7294</v>
      </c>
      <c r="H12" s="223">
        <v>7540</v>
      </c>
      <c r="I12" s="1227">
        <v>6862</v>
      </c>
      <c r="J12" s="119"/>
      <c r="K12" s="123"/>
      <c r="L12" s="123">
        <v>14928</v>
      </c>
      <c r="M12" s="123">
        <v>8389</v>
      </c>
      <c r="N12" s="123">
        <v>491</v>
      </c>
      <c r="O12" s="123">
        <v>8563</v>
      </c>
      <c r="P12" s="123">
        <v>12516</v>
      </c>
      <c r="Q12" s="669">
        <v>9437</v>
      </c>
      <c r="R12" s="120"/>
      <c r="S12" s="121"/>
      <c r="T12" s="121">
        <f t="shared" si="1"/>
        <v>21151</v>
      </c>
      <c r="U12" s="121">
        <f t="shared" si="2"/>
        <v>15010</v>
      </c>
      <c r="V12" s="121">
        <f t="shared" si="3"/>
        <v>722</v>
      </c>
      <c r="W12" s="121">
        <f t="shared" si="4"/>
        <v>15857</v>
      </c>
      <c r="X12" s="121">
        <f t="shared" si="5"/>
        <v>20056</v>
      </c>
      <c r="Y12" s="803">
        <f t="shared" si="6"/>
        <v>16299</v>
      </c>
      <c r="Z12" s="1654"/>
      <c r="AA12" s="508"/>
      <c r="AB12" s="508">
        <v>263462</v>
      </c>
      <c r="AC12" s="1190">
        <v>210303</v>
      </c>
      <c r="AD12" s="1190">
        <v>14878</v>
      </c>
      <c r="AE12" s="1190">
        <v>235403</v>
      </c>
      <c r="AF12" s="1190">
        <v>242786</v>
      </c>
      <c r="AG12" s="1655">
        <v>187376</v>
      </c>
    </row>
    <row r="13" spans="1:33" s="142" customFormat="1" ht="11.25">
      <c r="A13" s="539" t="s">
        <v>22</v>
      </c>
      <c r="B13" s="806"/>
      <c r="C13" s="223"/>
      <c r="D13" s="223">
        <v>5811</v>
      </c>
      <c r="E13" s="223">
        <v>6575</v>
      </c>
      <c r="F13" s="223">
        <v>2035</v>
      </c>
      <c r="G13" s="223">
        <v>9605</v>
      </c>
      <c r="H13" s="223">
        <v>10088</v>
      </c>
      <c r="I13" s="1227">
        <v>10662</v>
      </c>
      <c r="J13" s="119"/>
      <c r="K13" s="123"/>
      <c r="L13" s="123">
        <v>17498</v>
      </c>
      <c r="M13" s="123">
        <v>9645</v>
      </c>
      <c r="N13" s="123">
        <v>4371</v>
      </c>
      <c r="O13" s="123">
        <v>14449</v>
      </c>
      <c r="P13" s="123">
        <v>14528</v>
      </c>
      <c r="Q13" s="669">
        <v>15572</v>
      </c>
      <c r="R13" s="120"/>
      <c r="S13" s="121"/>
      <c r="T13" s="121">
        <f t="shared" si="1"/>
        <v>23309</v>
      </c>
      <c r="U13" s="121">
        <f t="shared" si="2"/>
        <v>16220</v>
      </c>
      <c r="V13" s="121">
        <f t="shared" si="3"/>
        <v>6406</v>
      </c>
      <c r="W13" s="121">
        <f t="shared" si="4"/>
        <v>24054</v>
      </c>
      <c r="X13" s="121">
        <f t="shared" si="5"/>
        <v>24616</v>
      </c>
      <c r="Y13" s="803">
        <f t="shared" si="6"/>
        <v>26234</v>
      </c>
      <c r="Z13" s="1654"/>
      <c r="AA13" s="508"/>
      <c r="AB13" s="508">
        <v>264602</v>
      </c>
      <c r="AC13" s="1190">
        <v>217713</v>
      </c>
      <c r="AD13" s="1190">
        <v>99126</v>
      </c>
      <c r="AE13" s="1190">
        <v>313683</v>
      </c>
      <c r="AF13" s="1190">
        <v>302355</v>
      </c>
      <c r="AG13" s="1655">
        <v>313312</v>
      </c>
    </row>
    <row r="14" spans="1:44" s="142" customFormat="1" ht="11.25">
      <c r="A14" s="539" t="s">
        <v>23</v>
      </c>
      <c r="B14" s="806"/>
      <c r="C14" s="223"/>
      <c r="D14" s="223">
        <v>5717</v>
      </c>
      <c r="E14" s="223">
        <v>6799</v>
      </c>
      <c r="F14" s="223">
        <v>2504</v>
      </c>
      <c r="G14" s="223">
        <v>8321</v>
      </c>
      <c r="H14" s="223">
        <v>7689</v>
      </c>
      <c r="I14" s="1227">
        <v>8202</v>
      </c>
      <c r="J14" s="119"/>
      <c r="K14" s="123"/>
      <c r="L14" s="123">
        <v>15588</v>
      </c>
      <c r="M14" s="123">
        <v>12424</v>
      </c>
      <c r="N14" s="123">
        <v>6612</v>
      </c>
      <c r="O14" s="123">
        <v>12180</v>
      </c>
      <c r="P14" s="123">
        <v>12205</v>
      </c>
      <c r="Q14" s="669">
        <v>11308</v>
      </c>
      <c r="R14" s="120"/>
      <c r="S14" s="121"/>
      <c r="T14" s="121">
        <f t="shared" si="1"/>
        <v>21305</v>
      </c>
      <c r="U14" s="121">
        <f t="shared" si="2"/>
        <v>19223</v>
      </c>
      <c r="V14" s="121">
        <f t="shared" si="3"/>
        <v>9116</v>
      </c>
      <c r="W14" s="121">
        <f t="shared" si="4"/>
        <v>20501</v>
      </c>
      <c r="X14" s="121">
        <f t="shared" si="5"/>
        <v>19894</v>
      </c>
      <c r="Y14" s="803">
        <f t="shared" si="6"/>
        <v>19510</v>
      </c>
      <c r="Z14" s="1654"/>
      <c r="AA14" s="508"/>
      <c r="AB14" s="508">
        <v>253080</v>
      </c>
      <c r="AC14" s="1190">
        <v>255394</v>
      </c>
      <c r="AD14" s="1190">
        <v>129813</v>
      </c>
      <c r="AE14" s="1190">
        <v>247036</v>
      </c>
      <c r="AF14" s="1190">
        <v>233752</v>
      </c>
      <c r="AG14" s="1655">
        <v>225629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s="142" customFormat="1" ht="12" thickBot="1">
      <c r="A15" s="539" t="s">
        <v>24</v>
      </c>
      <c r="B15" s="1402"/>
      <c r="C15" s="1226"/>
      <c r="D15" s="1226">
        <v>5373</v>
      </c>
      <c r="E15" s="1226">
        <v>5879</v>
      </c>
      <c r="F15" s="1226">
        <v>4044</v>
      </c>
      <c r="G15" s="1226">
        <v>7718</v>
      </c>
      <c r="H15" s="1226">
        <v>8351</v>
      </c>
      <c r="I15" s="1228">
        <v>8013</v>
      </c>
      <c r="J15" s="495"/>
      <c r="K15" s="796"/>
      <c r="L15" s="796">
        <v>14001</v>
      </c>
      <c r="M15" s="796">
        <v>11201</v>
      </c>
      <c r="N15" s="796">
        <v>9693</v>
      </c>
      <c r="O15" s="796">
        <v>10987</v>
      </c>
      <c r="P15" s="796">
        <v>10986</v>
      </c>
      <c r="Q15" s="950">
        <v>10473</v>
      </c>
      <c r="R15" s="521"/>
      <c r="S15" s="124"/>
      <c r="T15" s="124">
        <f t="shared" si="1"/>
        <v>19374</v>
      </c>
      <c r="U15" s="124">
        <f t="shared" si="2"/>
        <v>17080</v>
      </c>
      <c r="V15" s="124">
        <f t="shared" si="3"/>
        <v>13737</v>
      </c>
      <c r="W15" s="124">
        <f t="shared" si="4"/>
        <v>18705</v>
      </c>
      <c r="X15" s="124">
        <f t="shared" si="5"/>
        <v>19337</v>
      </c>
      <c r="Y15" s="676">
        <f t="shared" si="6"/>
        <v>18486</v>
      </c>
      <c r="Z15" s="1656"/>
      <c r="AA15" s="1188"/>
      <c r="AB15" s="1188">
        <v>219405</v>
      </c>
      <c r="AC15" s="1191">
        <v>226171</v>
      </c>
      <c r="AD15" s="1191">
        <v>190926</v>
      </c>
      <c r="AE15" s="1191">
        <v>223113</v>
      </c>
      <c r="AF15" s="1191">
        <v>230288</v>
      </c>
      <c r="AG15" s="1657">
        <v>226452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s="138" customFormat="1" ht="11.25">
      <c r="A16" s="809" t="s">
        <v>113</v>
      </c>
      <c r="B16" s="1276">
        <f>SUM(C16-D16)/D16</f>
        <v>0.1386214734590186</v>
      </c>
      <c r="C16" s="332">
        <f>SUM(C4:C8)</f>
        <v>34063</v>
      </c>
      <c r="D16" s="332">
        <f aca="true" t="shared" si="7" ref="D16:I16">SUM(D4:D8)</f>
        <v>29916</v>
      </c>
      <c r="E16" s="332">
        <f t="shared" si="7"/>
        <v>24731</v>
      </c>
      <c r="F16" s="332">
        <f t="shared" si="7"/>
        <v>40737</v>
      </c>
      <c r="G16" s="332">
        <f t="shared" si="7"/>
        <v>44625</v>
      </c>
      <c r="H16" s="332">
        <f t="shared" si="7"/>
        <v>39802</v>
      </c>
      <c r="I16" s="332">
        <f t="shared" si="7"/>
        <v>36717</v>
      </c>
      <c r="J16" s="588">
        <f>SUM(K16-L16)/L16</f>
        <v>-0.04462646715247261</v>
      </c>
      <c r="K16" s="332">
        <f>SUM(K4:K8)</f>
        <v>68699</v>
      </c>
      <c r="L16" s="332">
        <f aca="true" t="shared" si="8" ref="L16:Q16">SUM(L4:L8)</f>
        <v>71908</v>
      </c>
      <c r="M16" s="332">
        <f t="shared" si="8"/>
        <v>40372</v>
      </c>
      <c r="N16" s="332">
        <f t="shared" si="8"/>
        <v>66867</v>
      </c>
      <c r="O16" s="332">
        <f t="shared" si="8"/>
        <v>68427</v>
      </c>
      <c r="P16" s="332">
        <f t="shared" si="8"/>
        <v>65106</v>
      </c>
      <c r="Q16" s="332">
        <f t="shared" si="8"/>
        <v>65076</v>
      </c>
      <c r="R16" s="588">
        <f>SUM(S16-T16)/T16</f>
        <v>0.009211973601508485</v>
      </c>
      <c r="S16" s="332">
        <f aca="true" t="shared" si="9" ref="S16:Y16">+C16+K16</f>
        <v>102762</v>
      </c>
      <c r="T16" s="332">
        <f t="shared" si="9"/>
        <v>101824</v>
      </c>
      <c r="U16" s="332">
        <f t="shared" si="9"/>
        <v>65103</v>
      </c>
      <c r="V16" s="332">
        <f t="shared" si="9"/>
        <v>107604</v>
      </c>
      <c r="W16" s="332">
        <f t="shared" si="9"/>
        <v>113052</v>
      </c>
      <c r="X16" s="332">
        <f t="shared" si="9"/>
        <v>104908</v>
      </c>
      <c r="Y16" s="800">
        <f t="shared" si="9"/>
        <v>101793</v>
      </c>
      <c r="Z16" s="396">
        <f>SUM(AA16-AB16)/AB16</f>
        <v>-0.0723683087896524</v>
      </c>
      <c r="AA16" s="399">
        <f aca="true" t="shared" si="10" ref="AA16:AG16">SUM(AA4:AA7)</f>
        <v>978516</v>
      </c>
      <c r="AB16" s="399">
        <f t="shared" si="10"/>
        <v>1054854</v>
      </c>
      <c r="AC16" s="399">
        <f t="shared" si="10"/>
        <v>680896</v>
      </c>
      <c r="AD16" s="399">
        <f t="shared" si="10"/>
        <v>1037112</v>
      </c>
      <c r="AE16" s="399">
        <f t="shared" si="10"/>
        <v>1087295</v>
      </c>
      <c r="AF16" s="399">
        <f t="shared" si="10"/>
        <v>1046691</v>
      </c>
      <c r="AG16" s="400">
        <f t="shared" si="10"/>
        <v>924102</v>
      </c>
      <c r="AH16" s="1274"/>
      <c r="AI16" s="1274"/>
      <c r="AJ16" s="1274"/>
      <c r="AK16" s="1274"/>
      <c r="AL16" s="1274"/>
      <c r="AM16" s="1274"/>
      <c r="AN16" s="1274"/>
      <c r="AO16" s="1274"/>
      <c r="AP16" s="1274"/>
      <c r="AQ16" s="1274"/>
      <c r="AR16" s="1274"/>
    </row>
    <row r="17" spans="1:44" s="138" customFormat="1" ht="12" thickBot="1">
      <c r="A17" s="811" t="s">
        <v>28</v>
      </c>
      <c r="B17" s="812">
        <f>SUM(C17-D17)/D17</f>
        <v>0.11813332603878886</v>
      </c>
      <c r="C17" s="102">
        <f aca="true" t="shared" si="11" ref="C17:I17">AVERAGE(C4:C15)</f>
        <v>6812.6</v>
      </c>
      <c r="D17" s="102">
        <f>AVERAGE(D4:D15)</f>
        <v>6092.833333333333</v>
      </c>
      <c r="E17" s="102">
        <f t="shared" si="11"/>
        <v>5700.583333333333</v>
      </c>
      <c r="F17" s="102">
        <f t="shared" si="11"/>
        <v>6153.083333333333</v>
      </c>
      <c r="G17" s="102">
        <f t="shared" si="11"/>
        <v>8832.916666666666</v>
      </c>
      <c r="H17" s="102">
        <f t="shared" si="11"/>
        <v>8256.416666666666</v>
      </c>
      <c r="I17" s="312">
        <f t="shared" si="11"/>
        <v>7839.333333333333</v>
      </c>
      <c r="J17" s="313">
        <f>SUM(K17-L17)/L17</f>
        <v>-0.07129523755879132</v>
      </c>
      <c r="K17" s="102">
        <f aca="true" t="shared" si="12" ref="K17:Q17">AVERAGE(K4:K15)</f>
        <v>13739.8</v>
      </c>
      <c r="L17" s="102">
        <f>AVERAGE(L4:L15)</f>
        <v>14794.583333333334</v>
      </c>
      <c r="M17" s="102">
        <f t="shared" si="12"/>
        <v>8958.166666666666</v>
      </c>
      <c r="N17" s="102">
        <f t="shared" si="12"/>
        <v>10797.833333333334</v>
      </c>
      <c r="O17" s="102">
        <f t="shared" si="12"/>
        <v>12704.416666666666</v>
      </c>
      <c r="P17" s="102">
        <f t="shared" si="12"/>
        <v>12668.75</v>
      </c>
      <c r="Q17" s="102">
        <f t="shared" si="12"/>
        <v>12315.166666666666</v>
      </c>
      <c r="R17" s="313">
        <f>SUM(S17-T17)/T17</f>
        <v>-0.01603916233457942</v>
      </c>
      <c r="S17" s="102">
        <f aca="true" t="shared" si="13" ref="S17:Y17">AVERAGE(S4:S15)</f>
        <v>20552.4</v>
      </c>
      <c r="T17" s="102">
        <f>AVERAGE(T4:T15)</f>
        <v>20887.416666666668</v>
      </c>
      <c r="U17" s="102">
        <f t="shared" si="13"/>
        <v>14658.75</v>
      </c>
      <c r="V17" s="102">
        <f t="shared" si="13"/>
        <v>16950.916666666668</v>
      </c>
      <c r="W17" s="102">
        <f t="shared" si="13"/>
        <v>21537.333333333332</v>
      </c>
      <c r="X17" s="102">
        <f t="shared" si="13"/>
        <v>20925.166666666668</v>
      </c>
      <c r="Y17" s="102">
        <f t="shared" si="13"/>
        <v>20154.5</v>
      </c>
      <c r="Z17" s="313">
        <f>SUM(AA17-AB17)/AB17</f>
        <v>-0.0402459194456175</v>
      </c>
      <c r="AA17" s="102">
        <f aca="true" t="shared" si="14" ref="AA17:AG17">AVERAGE(AA4:AA15)</f>
        <v>249617.8</v>
      </c>
      <c r="AB17" s="102">
        <f>AVERAGE(AB4:AB15)</f>
        <v>260085.16666666666</v>
      </c>
      <c r="AC17" s="102">
        <f t="shared" si="14"/>
        <v>195348.83333333334</v>
      </c>
      <c r="AD17" s="102">
        <f t="shared" si="14"/>
        <v>213823.25</v>
      </c>
      <c r="AE17" s="102">
        <f t="shared" si="14"/>
        <v>263830.3333333333</v>
      </c>
      <c r="AF17" s="102">
        <f t="shared" si="14"/>
        <v>254209</v>
      </c>
      <c r="AG17" s="312">
        <f t="shared" si="14"/>
        <v>235930.58333333334</v>
      </c>
      <c r="AH17" s="1274"/>
      <c r="AI17" s="1274"/>
      <c r="AJ17" s="1274"/>
      <c r="AK17" s="1274"/>
      <c r="AL17" s="1274"/>
      <c r="AM17" s="1274"/>
      <c r="AN17" s="1274"/>
      <c r="AO17" s="1274"/>
      <c r="AP17" s="1274"/>
      <c r="AQ17" s="1274"/>
      <c r="AR17" s="1274"/>
    </row>
  </sheetData>
  <mergeCells count="6">
    <mergeCell ref="Z3:AG3"/>
    <mergeCell ref="A1:A3"/>
    <mergeCell ref="B1:AG1"/>
    <mergeCell ref="B3:I3"/>
    <mergeCell ref="J3:Q3"/>
    <mergeCell ref="R3:X3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7.00390625" style="270" customWidth="1"/>
    <col min="3" max="5" width="9.00390625" style="270" customWidth="1"/>
    <col min="6" max="6" width="7.00390625" style="270" customWidth="1"/>
    <col min="7" max="9" width="7.7109375" style="270" customWidth="1"/>
    <col min="10" max="10" width="5.28125" style="270" customWidth="1"/>
    <col min="11" max="13" width="7.8515625" style="270" customWidth="1"/>
    <col min="14" max="14" width="5.8515625" style="0" customWidth="1"/>
    <col min="15" max="17" width="7.7109375" style="0" customWidth="1"/>
    <col min="19" max="21" width="7.8515625" style="0" customWidth="1"/>
  </cols>
  <sheetData>
    <row r="1" spans="1:256" s="789" customFormat="1" ht="13.5" thickBot="1">
      <c r="A1" s="1613"/>
      <c r="B1" s="1614"/>
      <c r="C1" s="1604"/>
      <c r="D1" s="1604"/>
      <c r="E1" s="1604"/>
      <c r="F1" s="1604"/>
      <c r="G1" s="1604"/>
      <c r="H1" s="1615"/>
      <c r="I1" s="1615"/>
      <c r="J1" s="1615"/>
      <c r="K1" s="334"/>
      <c r="L1" s="1604"/>
      <c r="M1" s="1605"/>
      <c r="N1" s="1605"/>
      <c r="O1" s="1605"/>
      <c r="P1" s="1605"/>
      <c r="Q1" s="534"/>
      <c r="R1" s="1604"/>
      <c r="S1" s="1604"/>
      <c r="T1" s="1604"/>
      <c r="U1" s="1604"/>
      <c r="V1" s="1604"/>
      <c r="W1" s="1604"/>
      <c r="X1" s="1615"/>
      <c r="Y1" s="1615"/>
      <c r="Z1" s="1615"/>
      <c r="AA1" s="334"/>
      <c r="AB1" s="1604"/>
      <c r="AC1" s="1605"/>
      <c r="AD1" s="1605"/>
      <c r="AE1" s="1605"/>
      <c r="AF1" s="1605"/>
      <c r="AG1" s="534"/>
      <c r="AH1" s="1604"/>
      <c r="AI1" s="1604"/>
      <c r="AJ1" s="1604"/>
      <c r="AK1" s="1604"/>
      <c r="AL1" s="1604"/>
      <c r="AM1" s="1604"/>
      <c r="AN1" s="1615"/>
      <c r="AO1" s="1615"/>
      <c r="AP1" s="1615"/>
      <c r="AQ1" s="334"/>
      <c r="AR1" s="1604"/>
      <c r="AS1" s="1605"/>
      <c r="AT1" s="1605"/>
      <c r="AU1" s="1605"/>
      <c r="AV1" s="1605"/>
      <c r="AW1" s="534"/>
      <c r="AX1" s="1604"/>
      <c r="AY1" s="1604"/>
      <c r="AZ1" s="1604"/>
      <c r="BA1" s="1604"/>
      <c r="BB1" s="1604"/>
      <c r="BC1" s="1604"/>
      <c r="BD1" s="1615"/>
      <c r="BE1" s="1615"/>
      <c r="BF1" s="1615"/>
      <c r="BG1" s="334"/>
      <c r="BH1" s="1604"/>
      <c r="BI1" s="1605"/>
      <c r="BJ1" s="1605"/>
      <c r="BK1" s="1605"/>
      <c r="BL1" s="1605"/>
      <c r="BM1" s="534"/>
      <c r="BN1" s="1604"/>
      <c r="BO1" s="1604"/>
      <c r="BP1" s="1604"/>
      <c r="BQ1" s="1604"/>
      <c r="BR1" s="1604"/>
      <c r="BS1" s="1604"/>
      <c r="BT1" s="1615"/>
      <c r="BU1" s="1615"/>
      <c r="BV1" s="1615"/>
      <c r="BW1" s="334"/>
      <c r="BX1" s="1604"/>
      <c r="BY1" s="1605"/>
      <c r="BZ1" s="1605"/>
      <c r="CA1" s="1605"/>
      <c r="CB1" s="1605"/>
      <c r="CC1" s="534"/>
      <c r="CD1" s="1604"/>
      <c r="CE1" s="1604"/>
      <c r="CF1" s="1604"/>
      <c r="CG1" s="1604"/>
      <c r="CH1" s="1604"/>
      <c r="CI1" s="1604"/>
      <c r="CJ1" s="1615"/>
      <c r="CK1" s="1615"/>
      <c r="CL1" s="1615"/>
      <c r="CM1" s="334"/>
      <c r="CN1" s="1604"/>
      <c r="CO1" s="1605"/>
      <c r="CP1" s="1605"/>
      <c r="CQ1" s="1605"/>
      <c r="CR1" s="1605"/>
      <c r="CS1" s="534"/>
      <c r="CT1" s="1604"/>
      <c r="CU1" s="1604"/>
      <c r="CV1" s="1604"/>
      <c r="CW1" s="1604"/>
      <c r="CX1" s="1604"/>
      <c r="CY1" s="1604"/>
      <c r="CZ1" s="1615"/>
      <c r="DA1" s="1615"/>
      <c r="DB1" s="1615"/>
      <c r="DC1" s="334"/>
      <c r="DD1" s="1604"/>
      <c r="DE1" s="1605"/>
      <c r="DF1" s="1605"/>
      <c r="DG1" s="1605"/>
      <c r="DH1" s="1605"/>
      <c r="DI1" s="534"/>
      <c r="DJ1" s="1604"/>
      <c r="DK1" s="1604"/>
      <c r="DL1" s="1604"/>
      <c r="DM1" s="1604"/>
      <c r="DN1" s="1604"/>
      <c r="DO1" s="1604"/>
      <c r="DP1" s="1615"/>
      <c r="DQ1" s="1615"/>
      <c r="DR1" s="1615"/>
      <c r="DS1" s="334"/>
      <c r="DT1" s="1604"/>
      <c r="DU1" s="1605"/>
      <c r="DV1" s="1605"/>
      <c r="DW1" s="1605"/>
      <c r="DX1" s="1605"/>
      <c r="DY1" s="534"/>
      <c r="DZ1" s="1604"/>
      <c r="EA1" s="1604"/>
      <c r="EB1" s="1604"/>
      <c r="EC1" s="1604"/>
      <c r="ED1" s="1604"/>
      <c r="EE1" s="1604"/>
      <c r="EF1" s="1615"/>
      <c r="EG1" s="1615"/>
      <c r="EH1" s="1615"/>
      <c r="EI1" s="334"/>
      <c r="EJ1" s="1604"/>
      <c r="EK1" s="1605"/>
      <c r="EL1" s="1605"/>
      <c r="EM1" s="1605"/>
      <c r="EN1" s="1605"/>
      <c r="EO1" s="534"/>
      <c r="EP1" s="1604"/>
      <c r="EQ1" s="1604"/>
      <c r="ER1" s="1604"/>
      <c r="ES1" s="1604"/>
      <c r="ET1" s="1604"/>
      <c r="EU1" s="1604"/>
      <c r="EV1" s="1615"/>
      <c r="EW1" s="1615"/>
      <c r="EX1" s="1615"/>
      <c r="EY1" s="334"/>
      <c r="EZ1" s="1604"/>
      <c r="FA1" s="1605"/>
      <c r="FB1" s="1605"/>
      <c r="FC1" s="1605"/>
      <c r="FD1" s="1605"/>
      <c r="FE1" s="534"/>
      <c r="FF1" s="1604"/>
      <c r="FG1" s="1604"/>
      <c r="FH1" s="1604"/>
      <c r="FI1" s="1604"/>
      <c r="FJ1" s="1604"/>
      <c r="FK1" s="1604"/>
      <c r="FL1" s="1615"/>
      <c r="FM1" s="1615"/>
      <c r="FN1" s="1615"/>
      <c r="FO1" s="334"/>
      <c r="FP1" s="1604"/>
      <c r="FQ1" s="1605"/>
      <c r="FR1" s="1605"/>
      <c r="FS1" s="1605"/>
      <c r="FT1" s="1605"/>
      <c r="FU1" s="534"/>
      <c r="FV1" s="1604"/>
      <c r="FW1" s="1604"/>
      <c r="FX1" s="1604"/>
      <c r="FY1" s="1604"/>
      <c r="FZ1" s="1604"/>
      <c r="GA1" s="1604"/>
      <c r="GB1" s="1615"/>
      <c r="GC1" s="1615"/>
      <c r="GD1" s="1615"/>
      <c r="GE1" s="334"/>
      <c r="GF1" s="1604"/>
      <c r="GG1" s="1605"/>
      <c r="GH1" s="1605"/>
      <c r="GI1" s="1605"/>
      <c r="GJ1" s="1605"/>
      <c r="GK1" s="534"/>
      <c r="GL1" s="1604"/>
      <c r="GM1" s="1604"/>
      <c r="GN1" s="1604"/>
      <c r="GO1" s="1604"/>
      <c r="GP1" s="1604"/>
      <c r="GQ1" s="1604"/>
      <c r="GR1" s="1615"/>
      <c r="GS1" s="1615"/>
      <c r="GT1" s="1615"/>
      <c r="GU1" s="334"/>
      <c r="GV1" s="1604"/>
      <c r="GW1" s="1605"/>
      <c r="GX1" s="1605"/>
      <c r="GY1" s="1605"/>
      <c r="GZ1" s="1605"/>
      <c r="HA1" s="534"/>
      <c r="HB1" s="1604"/>
      <c r="HC1" s="1604"/>
      <c r="HD1" s="1604"/>
      <c r="HE1" s="1604"/>
      <c r="HF1" s="1604"/>
      <c r="HG1" s="1604"/>
      <c r="HH1" s="1615"/>
      <c r="HI1" s="1615"/>
      <c r="HJ1" s="1615"/>
      <c r="HK1" s="334"/>
      <c r="HL1" s="1604"/>
      <c r="HM1" s="1605"/>
      <c r="HN1" s="1605"/>
      <c r="HO1" s="1605"/>
      <c r="HP1" s="1605"/>
      <c r="HQ1" s="534"/>
      <c r="HR1" s="1604"/>
      <c r="HS1" s="1604"/>
      <c r="HT1" s="1604"/>
      <c r="HU1" s="1604"/>
      <c r="HV1" s="1604"/>
      <c r="HW1" s="1604"/>
      <c r="HX1" s="1615"/>
      <c r="HY1" s="1615"/>
      <c r="HZ1" s="1615"/>
      <c r="IA1" s="334"/>
      <c r="IB1" s="1604"/>
      <c r="IC1" s="1605"/>
      <c r="ID1" s="1605"/>
      <c r="IE1" s="1605"/>
      <c r="IF1" s="1605"/>
      <c r="IG1" s="534"/>
      <c r="IH1" s="1604"/>
      <c r="II1" s="1604"/>
      <c r="IJ1" s="1604"/>
      <c r="IK1" s="1604"/>
      <c r="IL1" s="1604"/>
      <c r="IM1" s="1604"/>
      <c r="IN1" s="1615"/>
      <c r="IO1" s="1615"/>
      <c r="IP1" s="1615"/>
      <c r="IQ1" s="334"/>
      <c r="IR1" s="1604"/>
      <c r="IS1" s="1605"/>
      <c r="IT1" s="1605"/>
      <c r="IU1" s="1605"/>
      <c r="IV1" s="1605"/>
    </row>
    <row r="2" spans="1:21" s="749" customFormat="1" ht="13.5" thickBot="1">
      <c r="A2" s="1901" t="s">
        <v>148</v>
      </c>
      <c r="B2" s="271"/>
      <c r="C2" s="271"/>
      <c r="D2" s="271"/>
      <c r="E2" s="271"/>
      <c r="F2" s="271"/>
      <c r="G2" s="271"/>
      <c r="H2" s="271"/>
      <c r="I2" s="271"/>
      <c r="J2" s="301"/>
      <c r="K2" s="301"/>
      <c r="L2" s="301"/>
      <c r="M2" s="301"/>
      <c r="N2" s="301"/>
      <c r="O2" s="301"/>
      <c r="P2" s="301"/>
      <c r="Q2" s="301"/>
      <c r="R2" s="1911"/>
      <c r="S2" s="1911"/>
      <c r="T2" s="1911"/>
      <c r="U2" s="1911"/>
    </row>
    <row r="3" spans="1:21" s="749" customFormat="1" ht="13.5" thickBot="1">
      <c r="A3" s="1948"/>
      <c r="B3" s="609" t="s">
        <v>44</v>
      </c>
      <c r="C3" s="609">
        <v>2008</v>
      </c>
      <c r="D3" s="609">
        <v>2007</v>
      </c>
      <c r="E3" s="466">
        <v>2006</v>
      </c>
      <c r="F3" s="1056" t="s">
        <v>44</v>
      </c>
      <c r="G3" s="1056">
        <v>2008</v>
      </c>
      <c r="H3" s="1056">
        <v>2007</v>
      </c>
      <c r="I3" s="1598">
        <v>2006</v>
      </c>
      <c r="J3" s="1597">
        <v>2008</v>
      </c>
      <c r="K3" s="1597">
        <v>2008</v>
      </c>
      <c r="L3" s="1048">
        <v>2007</v>
      </c>
      <c r="M3" s="1599">
        <v>2006</v>
      </c>
      <c r="N3" s="129">
        <v>2008</v>
      </c>
      <c r="O3" s="129">
        <v>2008</v>
      </c>
      <c r="P3" s="129">
        <v>2007</v>
      </c>
      <c r="Q3" s="130">
        <v>2006</v>
      </c>
      <c r="R3" s="610">
        <v>2008</v>
      </c>
      <c r="S3" s="610">
        <v>2008</v>
      </c>
      <c r="T3" s="610">
        <v>2007</v>
      </c>
      <c r="U3" s="114">
        <v>2006</v>
      </c>
    </row>
    <row r="4" spans="1:21" s="749" customFormat="1" ht="13.5" thickBot="1">
      <c r="A4" s="1600"/>
      <c r="B4" s="1890" t="s">
        <v>100</v>
      </c>
      <c r="C4" s="1896"/>
      <c r="D4" s="1896"/>
      <c r="E4" s="1879"/>
      <c r="F4" s="1890" t="s">
        <v>69</v>
      </c>
      <c r="G4" s="1896"/>
      <c r="H4" s="1896"/>
      <c r="I4" s="1896"/>
      <c r="J4" s="1890" t="s">
        <v>56</v>
      </c>
      <c r="K4" s="1896"/>
      <c r="L4" s="1896"/>
      <c r="M4" s="1879"/>
      <c r="N4" s="1931" t="s">
        <v>49</v>
      </c>
      <c r="O4" s="1931"/>
      <c r="P4" s="1931"/>
      <c r="Q4" s="1931"/>
      <c r="R4" s="492" t="s">
        <v>116</v>
      </c>
      <c r="S4" s="492" t="s">
        <v>116</v>
      </c>
      <c r="T4" s="493"/>
      <c r="U4" s="493"/>
    </row>
    <row r="5" spans="1:21" s="749" customFormat="1" ht="12.75">
      <c r="A5" s="696" t="s">
        <v>13</v>
      </c>
      <c r="B5" s="1616">
        <f aca="true" t="shared" si="0" ref="B5:B11">SUM(C5-D5)/D5</f>
        <v>0.04985990863835402</v>
      </c>
      <c r="C5" s="752">
        <v>199718</v>
      </c>
      <c r="D5" s="753">
        <v>190233</v>
      </c>
      <c r="E5" s="946">
        <v>182728</v>
      </c>
      <c r="F5" s="1617">
        <f aca="true" t="shared" si="1" ref="F5:F11">SUM(G5-H5)/H5</f>
        <v>0.168168567386123</v>
      </c>
      <c r="G5" s="755">
        <v>123021</v>
      </c>
      <c r="H5" s="755">
        <v>105311</v>
      </c>
      <c r="I5" s="1001">
        <v>93622</v>
      </c>
      <c r="J5" s="1618">
        <f aca="true" t="shared" si="2" ref="J5:J10">SUM(K5-L5)/L5</f>
        <v>0.09201675554232196</v>
      </c>
      <c r="K5" s="731">
        <f aca="true" t="shared" si="3" ref="K5:K10">+C5+G5</f>
        <v>322739</v>
      </c>
      <c r="L5" s="731">
        <f aca="true" t="shared" si="4" ref="L5:M17">+D5+H5</f>
        <v>295544</v>
      </c>
      <c r="M5" s="1619">
        <f t="shared" si="4"/>
        <v>276350</v>
      </c>
      <c r="N5" s="1620">
        <f aca="true" t="shared" si="5" ref="N5:N11">SUM(O5-P5)/P5</f>
        <v>-0.20979627674586335</v>
      </c>
      <c r="O5" s="1621">
        <v>75598</v>
      </c>
      <c r="P5" s="1412">
        <v>95669</v>
      </c>
      <c r="Q5" s="1612">
        <v>105026</v>
      </c>
      <c r="R5" s="1622">
        <f aca="true" t="shared" si="6" ref="R5:R10">SUM(S5-T5)/T5</f>
        <v>0.01821002880783614</v>
      </c>
      <c r="S5" s="1057">
        <f aca="true" t="shared" si="7" ref="S5:U10">+K5+O5</f>
        <v>398337</v>
      </c>
      <c r="T5" s="1057">
        <f t="shared" si="7"/>
        <v>391213</v>
      </c>
      <c r="U5" s="1060">
        <f t="shared" si="7"/>
        <v>381376</v>
      </c>
    </row>
    <row r="6" spans="1:21" s="749" customFormat="1" ht="12.75">
      <c r="A6" s="539" t="s">
        <v>14</v>
      </c>
      <c r="B6" s="1623">
        <f t="shared" si="0"/>
        <v>0.010723735165846229</v>
      </c>
      <c r="C6" s="352">
        <v>194440</v>
      </c>
      <c r="D6" s="737">
        <v>192377</v>
      </c>
      <c r="E6" s="828">
        <v>177215</v>
      </c>
      <c r="F6" s="1624">
        <f t="shared" si="1"/>
        <v>0.306462772624718</v>
      </c>
      <c r="G6" s="353">
        <v>130287</v>
      </c>
      <c r="H6" s="353">
        <v>99725</v>
      </c>
      <c r="I6" s="1002">
        <v>91283</v>
      </c>
      <c r="J6" s="1625">
        <f t="shared" si="2"/>
        <v>0.111690436902178</v>
      </c>
      <c r="K6" s="740">
        <f t="shared" si="3"/>
        <v>324727</v>
      </c>
      <c r="L6" s="740">
        <f t="shared" si="4"/>
        <v>292102</v>
      </c>
      <c r="M6" s="1626">
        <f t="shared" si="4"/>
        <v>268498</v>
      </c>
      <c r="N6" s="1627">
        <f t="shared" si="5"/>
        <v>-0.2678441137298049</v>
      </c>
      <c r="O6" s="1628">
        <v>63218</v>
      </c>
      <c r="P6" s="678">
        <v>86345</v>
      </c>
      <c r="Q6" s="952">
        <v>89682</v>
      </c>
      <c r="R6" s="1629">
        <f t="shared" si="6"/>
        <v>0.025097305567226058</v>
      </c>
      <c r="S6" s="1058">
        <f t="shared" si="7"/>
        <v>387945</v>
      </c>
      <c r="T6" s="1058">
        <f t="shared" si="7"/>
        <v>378447</v>
      </c>
      <c r="U6" s="1061">
        <f t="shared" si="7"/>
        <v>358180</v>
      </c>
    </row>
    <row r="7" spans="1:21" s="749" customFormat="1" ht="12.75">
      <c r="A7" s="539" t="s">
        <v>15</v>
      </c>
      <c r="B7" s="1623">
        <f t="shared" si="0"/>
        <v>-0.12842951040375933</v>
      </c>
      <c r="C7" s="352">
        <v>203279</v>
      </c>
      <c r="D7" s="737">
        <v>233233</v>
      </c>
      <c r="E7" s="828">
        <v>201273</v>
      </c>
      <c r="F7" s="1624">
        <f t="shared" si="1"/>
        <v>0.12786481335130864</v>
      </c>
      <c r="G7" s="353">
        <v>145569</v>
      </c>
      <c r="H7" s="353">
        <v>129066</v>
      </c>
      <c r="I7" s="1002">
        <v>112518</v>
      </c>
      <c r="J7" s="1625">
        <f t="shared" si="2"/>
        <v>-0.03712679306318814</v>
      </c>
      <c r="K7" s="740">
        <f t="shared" si="3"/>
        <v>348848</v>
      </c>
      <c r="L7" s="740">
        <f t="shared" si="4"/>
        <v>362299</v>
      </c>
      <c r="M7" s="1626">
        <f t="shared" si="4"/>
        <v>313791</v>
      </c>
      <c r="N7" s="1627">
        <f t="shared" si="5"/>
        <v>-0.43408295852073964</v>
      </c>
      <c r="O7" s="1628">
        <v>73606</v>
      </c>
      <c r="P7" s="678">
        <v>130065</v>
      </c>
      <c r="Q7" s="952">
        <v>98494</v>
      </c>
      <c r="R7" s="1629">
        <f t="shared" si="6"/>
        <v>-0.14198844757130902</v>
      </c>
      <c r="S7" s="1058">
        <f t="shared" si="7"/>
        <v>422454</v>
      </c>
      <c r="T7" s="1058">
        <f t="shared" si="7"/>
        <v>492364</v>
      </c>
      <c r="U7" s="1061">
        <f t="shared" si="7"/>
        <v>412285</v>
      </c>
    </row>
    <row r="8" spans="1:21" s="749" customFormat="1" ht="12.75">
      <c r="A8" s="539" t="s">
        <v>16</v>
      </c>
      <c r="B8" s="1623">
        <f t="shared" si="0"/>
        <v>0.060526853389346644</v>
      </c>
      <c r="C8" s="352">
        <v>202462</v>
      </c>
      <c r="D8" s="737">
        <v>190907</v>
      </c>
      <c r="E8" s="828">
        <v>205679</v>
      </c>
      <c r="F8" s="1624">
        <f t="shared" si="1"/>
        <v>0.24593528439682286</v>
      </c>
      <c r="G8" s="353">
        <v>140235</v>
      </c>
      <c r="H8" s="353">
        <v>112554</v>
      </c>
      <c r="I8" s="1002">
        <v>102653</v>
      </c>
      <c r="J8" s="1625">
        <f t="shared" si="2"/>
        <v>0.12929503296964026</v>
      </c>
      <c r="K8" s="740">
        <f t="shared" si="3"/>
        <v>342697</v>
      </c>
      <c r="L8" s="740">
        <f t="shared" si="4"/>
        <v>303461</v>
      </c>
      <c r="M8" s="1626">
        <f t="shared" si="4"/>
        <v>308332</v>
      </c>
      <c r="N8" s="1627">
        <f t="shared" si="5"/>
        <v>-0.27728414248229105</v>
      </c>
      <c r="O8" s="1628">
        <v>64175</v>
      </c>
      <c r="P8" s="678">
        <v>88797</v>
      </c>
      <c r="Q8" s="952">
        <v>98535</v>
      </c>
      <c r="R8" s="1629">
        <f t="shared" si="6"/>
        <v>0.037256091653962445</v>
      </c>
      <c r="S8" s="1058">
        <f t="shared" si="7"/>
        <v>406872</v>
      </c>
      <c r="T8" s="1058">
        <f t="shared" si="7"/>
        <v>392258</v>
      </c>
      <c r="U8" s="1061">
        <f t="shared" si="7"/>
        <v>406867</v>
      </c>
    </row>
    <row r="9" spans="1:21" s="749" customFormat="1" ht="12.75">
      <c r="A9" s="539" t="s">
        <v>17</v>
      </c>
      <c r="B9" s="1623">
        <f t="shared" si="0"/>
        <v>-0.037233726526116624</v>
      </c>
      <c r="C9" s="352">
        <v>210660</v>
      </c>
      <c r="D9" s="737">
        <v>218807</v>
      </c>
      <c r="E9" s="828">
        <v>201586</v>
      </c>
      <c r="F9" s="1624">
        <f t="shared" si="1"/>
        <v>0.14261202194394376</v>
      </c>
      <c r="G9" s="353">
        <v>145170</v>
      </c>
      <c r="H9" s="353">
        <v>127051</v>
      </c>
      <c r="I9" s="1002">
        <v>103831</v>
      </c>
      <c r="J9" s="1625">
        <f t="shared" si="2"/>
        <v>0.028832642298284267</v>
      </c>
      <c r="K9" s="740">
        <f t="shared" si="3"/>
        <v>355830</v>
      </c>
      <c r="L9" s="740">
        <f t="shared" si="4"/>
        <v>345858</v>
      </c>
      <c r="M9" s="1626">
        <f t="shared" si="4"/>
        <v>305417</v>
      </c>
      <c r="N9" s="1627">
        <f t="shared" si="5"/>
        <v>-0.2869595536959554</v>
      </c>
      <c r="O9" s="1628">
        <v>69530</v>
      </c>
      <c r="P9" s="678">
        <v>97512</v>
      </c>
      <c r="Q9" s="952">
        <v>102380</v>
      </c>
      <c r="R9" s="1629">
        <f t="shared" si="6"/>
        <v>-0.040620700543564064</v>
      </c>
      <c r="S9" s="1058">
        <f t="shared" si="7"/>
        <v>425360</v>
      </c>
      <c r="T9" s="1058">
        <f t="shared" si="7"/>
        <v>443370</v>
      </c>
      <c r="U9" s="1061">
        <f t="shared" si="7"/>
        <v>407797</v>
      </c>
    </row>
    <row r="10" spans="1:21" s="749" customFormat="1" ht="12.75">
      <c r="A10" s="539" t="s">
        <v>18</v>
      </c>
      <c r="B10" s="1623">
        <f t="shared" si="0"/>
        <v>-0.06139458808972957</v>
      </c>
      <c r="C10" s="737">
        <v>221509</v>
      </c>
      <c r="D10" s="737">
        <v>235998</v>
      </c>
      <c r="E10" s="828">
        <v>231898</v>
      </c>
      <c r="F10" s="1624">
        <f t="shared" si="1"/>
        <v>0.16911950989198277</v>
      </c>
      <c r="G10" s="541">
        <v>152286</v>
      </c>
      <c r="H10" s="541">
        <v>130257</v>
      </c>
      <c r="I10" s="1002">
        <v>115106</v>
      </c>
      <c r="J10" s="1625">
        <f t="shared" si="2"/>
        <v>0.0205867496689465</v>
      </c>
      <c r="K10" s="740">
        <f t="shared" si="3"/>
        <v>373795</v>
      </c>
      <c r="L10" s="740">
        <f t="shared" si="4"/>
        <v>366255</v>
      </c>
      <c r="M10" s="1626">
        <f t="shared" si="4"/>
        <v>347004</v>
      </c>
      <c r="N10" s="1627">
        <f t="shared" si="5"/>
        <v>-0.2533910561190249</v>
      </c>
      <c r="O10" s="1606">
        <v>78986</v>
      </c>
      <c r="P10" s="542">
        <v>105793</v>
      </c>
      <c r="Q10" s="952">
        <v>117592</v>
      </c>
      <c r="R10" s="1629">
        <f t="shared" si="6"/>
        <v>-0.04081576449852557</v>
      </c>
      <c r="S10" s="1058">
        <f t="shared" si="7"/>
        <v>452781</v>
      </c>
      <c r="T10" s="1058">
        <f t="shared" si="7"/>
        <v>472048</v>
      </c>
      <c r="U10" s="1061">
        <f t="shared" si="7"/>
        <v>464596</v>
      </c>
    </row>
    <row r="11" spans="1:21" s="749" customFormat="1" ht="12.75">
      <c r="A11" s="539" t="s">
        <v>19</v>
      </c>
      <c r="B11" s="1623">
        <f t="shared" si="0"/>
        <v>-0.004894127047542949</v>
      </c>
      <c r="C11" s="352">
        <v>229149</v>
      </c>
      <c r="D11" s="737">
        <v>230276</v>
      </c>
      <c r="E11" s="828">
        <v>214176</v>
      </c>
      <c r="F11" s="1624">
        <f t="shared" si="1"/>
        <v>0.24479995846888628</v>
      </c>
      <c r="G11" s="353">
        <v>143869</v>
      </c>
      <c r="H11" s="541">
        <v>115576</v>
      </c>
      <c r="I11" s="1002">
        <v>98688</v>
      </c>
      <c r="J11" s="1625">
        <f>SUM(K11-L11)/L11</f>
        <v>0.07854804945468004</v>
      </c>
      <c r="K11" s="740">
        <f>+C11+G11</f>
        <v>373018</v>
      </c>
      <c r="L11" s="740">
        <f t="shared" si="4"/>
        <v>345852</v>
      </c>
      <c r="M11" s="1626">
        <f t="shared" si="4"/>
        <v>312864</v>
      </c>
      <c r="N11" s="1627">
        <f t="shared" si="5"/>
        <v>-0.12597338892635968</v>
      </c>
      <c r="O11" s="329">
        <v>85527</v>
      </c>
      <c r="P11" s="542">
        <v>97854</v>
      </c>
      <c r="Q11" s="952">
        <v>115253</v>
      </c>
      <c r="R11" s="1629">
        <f>SUM(S11-T11)/T11</f>
        <v>0.033443316069649724</v>
      </c>
      <c r="S11" s="1058">
        <f>+K11+O11</f>
        <v>458545</v>
      </c>
      <c r="T11" s="1058">
        <f aca="true" t="shared" si="8" ref="T11:U17">+L11+P11</f>
        <v>443706</v>
      </c>
      <c r="U11" s="1061">
        <f t="shared" si="8"/>
        <v>428117</v>
      </c>
    </row>
    <row r="12" spans="1:21" s="749" customFormat="1" ht="12.75">
      <c r="A12" s="539" t="s">
        <v>20</v>
      </c>
      <c r="B12" s="1630"/>
      <c r="C12" s="737"/>
      <c r="D12" s="737">
        <v>245535</v>
      </c>
      <c r="E12" s="828">
        <v>222292</v>
      </c>
      <c r="F12" s="1631"/>
      <c r="G12" s="541"/>
      <c r="H12" s="541">
        <v>128799</v>
      </c>
      <c r="I12" s="1002">
        <v>110364</v>
      </c>
      <c r="J12" s="1625"/>
      <c r="K12" s="740"/>
      <c r="L12" s="740">
        <f t="shared" si="4"/>
        <v>374334</v>
      </c>
      <c r="M12" s="1626">
        <f t="shared" si="4"/>
        <v>332656</v>
      </c>
      <c r="N12" s="1607"/>
      <c r="O12" s="1607"/>
      <c r="P12" s="542">
        <v>119319</v>
      </c>
      <c r="Q12" s="952">
        <v>125190</v>
      </c>
      <c r="R12" s="1601"/>
      <c r="S12" s="1058"/>
      <c r="T12" s="1058">
        <f t="shared" si="8"/>
        <v>493653</v>
      </c>
      <c r="U12" s="1061">
        <f t="shared" si="8"/>
        <v>457846</v>
      </c>
    </row>
    <row r="13" spans="1:21" s="749" customFormat="1" ht="12.75">
      <c r="A13" s="539" t="s">
        <v>21</v>
      </c>
      <c r="B13" s="1630"/>
      <c r="C13" s="737"/>
      <c r="D13" s="737">
        <v>235112</v>
      </c>
      <c r="E13" s="828">
        <v>228321</v>
      </c>
      <c r="F13" s="1631"/>
      <c r="G13" s="541"/>
      <c r="H13" s="541">
        <v>129445</v>
      </c>
      <c r="I13" s="1002">
        <v>118587</v>
      </c>
      <c r="J13" s="1625"/>
      <c r="K13" s="740"/>
      <c r="L13" s="740">
        <f t="shared" si="4"/>
        <v>364557</v>
      </c>
      <c r="M13" s="1626">
        <f t="shared" si="4"/>
        <v>346908</v>
      </c>
      <c r="N13" s="1607"/>
      <c r="O13" s="1607"/>
      <c r="P13" s="542">
        <v>110853</v>
      </c>
      <c r="Q13" s="952">
        <v>128591</v>
      </c>
      <c r="R13" s="1601"/>
      <c r="S13" s="1058"/>
      <c r="T13" s="1058">
        <f t="shared" si="8"/>
        <v>475410</v>
      </c>
      <c r="U13" s="1061">
        <f t="shared" si="8"/>
        <v>475499</v>
      </c>
    </row>
    <row r="14" spans="1:21" s="749" customFormat="1" ht="12.75">
      <c r="A14" s="539" t="s">
        <v>22</v>
      </c>
      <c r="B14" s="1630"/>
      <c r="C14" s="737"/>
      <c r="D14" s="737">
        <v>224795</v>
      </c>
      <c r="E14" s="828">
        <v>219747</v>
      </c>
      <c r="F14" s="1631"/>
      <c r="G14" s="541"/>
      <c r="H14" s="541">
        <v>132851</v>
      </c>
      <c r="I14" s="1002">
        <v>110474</v>
      </c>
      <c r="J14" s="1625"/>
      <c r="K14" s="740"/>
      <c r="L14" s="740">
        <f t="shared" si="4"/>
        <v>357646</v>
      </c>
      <c r="M14" s="1626">
        <f t="shared" si="4"/>
        <v>330221</v>
      </c>
      <c r="N14" s="1607"/>
      <c r="O14" s="1607"/>
      <c r="P14" s="542">
        <v>99056</v>
      </c>
      <c r="Q14" s="952">
        <v>120171</v>
      </c>
      <c r="R14" s="1601"/>
      <c r="S14" s="1058"/>
      <c r="T14" s="1058">
        <f t="shared" si="8"/>
        <v>456702</v>
      </c>
      <c r="U14" s="1061">
        <f t="shared" si="8"/>
        <v>450392</v>
      </c>
    </row>
    <row r="15" spans="1:21" s="749" customFormat="1" ht="12.75">
      <c r="A15" s="539" t="s">
        <v>23</v>
      </c>
      <c r="B15" s="1630"/>
      <c r="C15" s="737"/>
      <c r="D15" s="737">
        <v>213170</v>
      </c>
      <c r="E15" s="828">
        <v>209068</v>
      </c>
      <c r="F15" s="1631"/>
      <c r="G15" s="541"/>
      <c r="H15" s="541">
        <v>131951</v>
      </c>
      <c r="I15" s="1002">
        <v>114929</v>
      </c>
      <c r="J15" s="1625"/>
      <c r="K15" s="740"/>
      <c r="L15" s="740">
        <f t="shared" si="4"/>
        <v>345121</v>
      </c>
      <c r="M15" s="1626">
        <f t="shared" si="4"/>
        <v>323997</v>
      </c>
      <c r="N15" s="1607"/>
      <c r="O15" s="1607"/>
      <c r="P15" s="542">
        <v>84229</v>
      </c>
      <c r="Q15" s="952">
        <v>114631</v>
      </c>
      <c r="R15" s="1601"/>
      <c r="S15" s="1058"/>
      <c r="T15" s="1058">
        <f t="shared" si="8"/>
        <v>429350</v>
      </c>
      <c r="U15" s="1061">
        <f t="shared" si="8"/>
        <v>438628</v>
      </c>
    </row>
    <row r="16" spans="1:21" s="749" customFormat="1" ht="13.5" thickBot="1">
      <c r="A16" s="988" t="s">
        <v>24</v>
      </c>
      <c r="B16" s="1632"/>
      <c r="C16" s="745"/>
      <c r="D16" s="745">
        <v>209149</v>
      </c>
      <c r="E16" s="1400">
        <v>215010</v>
      </c>
      <c r="F16" s="1633"/>
      <c r="G16" s="545"/>
      <c r="H16" s="545">
        <v>135317</v>
      </c>
      <c r="I16" s="1003">
        <v>127230</v>
      </c>
      <c r="J16" s="1634"/>
      <c r="K16" s="939"/>
      <c r="L16" s="939">
        <f t="shared" si="4"/>
        <v>344466</v>
      </c>
      <c r="M16" s="1635">
        <f t="shared" si="4"/>
        <v>342240</v>
      </c>
      <c r="N16" s="1608"/>
      <c r="O16" s="1608"/>
      <c r="P16" s="1602">
        <v>86117</v>
      </c>
      <c r="Q16" s="953">
        <v>118236</v>
      </c>
      <c r="R16" s="1609"/>
      <c r="S16" s="1603"/>
      <c r="T16" s="1603">
        <f t="shared" si="8"/>
        <v>430583</v>
      </c>
      <c r="U16" s="1610">
        <f t="shared" si="8"/>
        <v>460476</v>
      </c>
    </row>
    <row r="17" spans="1:21" s="1641" customFormat="1" ht="11.25">
      <c r="A17" s="1636" t="s">
        <v>218</v>
      </c>
      <c r="B17" s="1637">
        <f>SUM(C17-D17)/D17</f>
        <v>-0.020521091195986677</v>
      </c>
      <c r="C17" s="1638">
        <f>SUM(C5:C11)</f>
        <v>1461217</v>
      </c>
      <c r="D17" s="1638">
        <f>SUM(D5:D11)</f>
        <v>1491831</v>
      </c>
      <c r="E17" s="1638">
        <f>SUM(E5:E11)</f>
        <v>1414555</v>
      </c>
      <c r="F17" s="1639">
        <f>SUM(G17-H17)/H17</f>
        <v>0.19632598774922516</v>
      </c>
      <c r="G17" s="1638">
        <f>SUM(G5:G11)</f>
        <v>980437</v>
      </c>
      <c r="H17" s="1638">
        <f>SUM(H5:H11)</f>
        <v>819540</v>
      </c>
      <c r="I17" s="1638">
        <f>SUM(I5:I11)</f>
        <v>717701</v>
      </c>
      <c r="J17" s="1639">
        <f>SUM(K17-L17)/L17</f>
        <v>0.05636611344522364</v>
      </c>
      <c r="K17" s="783">
        <f>+C17+G17</f>
        <v>2441654</v>
      </c>
      <c r="L17" s="783">
        <f t="shared" si="4"/>
        <v>2311371</v>
      </c>
      <c r="M17" s="1640">
        <f t="shared" si="4"/>
        <v>2132256</v>
      </c>
      <c r="N17" s="1639">
        <f>SUM(O17-P17)/P17</f>
        <v>-0.27262885753559296</v>
      </c>
      <c r="O17" s="1638">
        <f>SUM(O5:O11)</f>
        <v>510640</v>
      </c>
      <c r="P17" s="1638">
        <f>SUM(P5:P11)</f>
        <v>702035</v>
      </c>
      <c r="Q17" s="1638">
        <f>SUM(Q5:Q11)</f>
        <v>726962</v>
      </c>
      <c r="R17" s="1639">
        <f>SUM(S17-T17)/T17</f>
        <v>-0.020280041919343097</v>
      </c>
      <c r="S17" s="514">
        <f>+K17+O17</f>
        <v>2952294</v>
      </c>
      <c r="T17" s="514">
        <f t="shared" si="8"/>
        <v>3013406</v>
      </c>
      <c r="U17" s="1611">
        <f t="shared" si="8"/>
        <v>2859218</v>
      </c>
    </row>
    <row r="18" spans="1:21" s="1647" customFormat="1" ht="12" thickBot="1">
      <c r="A18" s="1642" t="s">
        <v>28</v>
      </c>
      <c r="B18" s="1643">
        <f>SUM(C18-D18)/D18</f>
        <v>-0.043765812167914545</v>
      </c>
      <c r="C18" s="1644">
        <f>AVERAGE(C5:C16)</f>
        <v>208745.2857142857</v>
      </c>
      <c r="D18" s="1644">
        <f>AVERAGE(D5:D16)</f>
        <v>218299.33333333334</v>
      </c>
      <c r="E18" s="1645">
        <f>AVERAGE(E5:E16)</f>
        <v>209082.75</v>
      </c>
      <c r="F18" s="1646">
        <f>SUM(G18-H18)/H18</f>
        <v>0.1372526768381572</v>
      </c>
      <c r="G18" s="1644">
        <f>AVERAGE(G5:G16)</f>
        <v>140062.42857142858</v>
      </c>
      <c r="H18" s="1644">
        <f>AVERAGE(H5:H16)</f>
        <v>123158.58333333333</v>
      </c>
      <c r="I18" s="1645">
        <f>AVERAGE(I5:I16)</f>
        <v>108273.75</v>
      </c>
      <c r="J18" s="1646">
        <f>SUM(K18-L18)/L18</f>
        <v>0.021524753887087328</v>
      </c>
      <c r="K18" s="1644">
        <f>AVERAGE(K5:K16)</f>
        <v>348807.71428571426</v>
      </c>
      <c r="L18" s="1644">
        <f>AVERAGE(L5:L16)</f>
        <v>341457.9166666667</v>
      </c>
      <c r="M18" s="1645">
        <f>AVERAGE(M5:M16)</f>
        <v>317356.5</v>
      </c>
      <c r="N18" s="1646">
        <f>SUM(O18-P18)/P18</f>
        <v>-0.27149109473809097</v>
      </c>
      <c r="O18" s="1644">
        <f>AVERAGE(O5:O16)</f>
        <v>72948.57142857143</v>
      </c>
      <c r="P18" s="1644">
        <f>AVERAGE(P5:P16)</f>
        <v>100134.08333333333</v>
      </c>
      <c r="Q18" s="1645">
        <f>AVERAGE(Q5:Q16)</f>
        <v>111148.41666666667</v>
      </c>
      <c r="R18" s="1646">
        <f>SUM(S18-T18)/T18</f>
        <v>-0.04491864500650886</v>
      </c>
      <c r="S18" s="1644">
        <f>AVERAGE(S5:S16)</f>
        <v>421756.28571428574</v>
      </c>
      <c r="T18" s="1644">
        <f>AVERAGE(T5:T16)</f>
        <v>441592</v>
      </c>
      <c r="U18" s="1645">
        <f>AVERAGE(U5:U16)</f>
        <v>428504.9166666667</v>
      </c>
    </row>
  </sheetData>
  <mergeCells count="6">
    <mergeCell ref="A2:A3"/>
    <mergeCell ref="R2:U2"/>
    <mergeCell ref="B4:E4"/>
    <mergeCell ref="F4:I4"/>
    <mergeCell ref="J4:M4"/>
    <mergeCell ref="N4:Q4"/>
  </mergeCell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I16"/>
  <sheetViews>
    <sheetView workbookViewId="0" topLeftCell="AG1">
      <selection activeCell="AI9" sqref="AI9:AJ9"/>
    </sheetView>
  </sheetViews>
  <sheetFormatPr defaultColWidth="9.140625" defaultRowHeight="12.75"/>
  <cols>
    <col min="1" max="1" width="14.421875" style="144" customWidth="1"/>
    <col min="2" max="2" width="10.00390625" style="104" customWidth="1"/>
    <col min="3" max="12" width="6.57421875" style="104" customWidth="1"/>
    <col min="13" max="13" width="10.00390625" style="104" customWidth="1"/>
    <col min="14" max="22" width="6.57421875" style="104" customWidth="1"/>
    <col min="23" max="23" width="10.00390625" style="104" customWidth="1"/>
    <col min="24" max="26" width="7.8515625" style="104" customWidth="1"/>
    <col min="27" max="33" width="6.57421875" style="104" customWidth="1"/>
    <col min="34" max="34" width="10.00390625" style="104" customWidth="1"/>
    <col min="35" max="44" width="6.57421875" style="104" customWidth="1"/>
    <col min="45" max="45" width="10.00390625" style="104" customWidth="1"/>
    <col min="46" max="49" width="7.8515625" style="104" bestFit="1" customWidth="1"/>
    <col min="50" max="51" width="7.8515625" style="104" customWidth="1"/>
    <col min="52" max="53" width="6.57421875" style="104" customWidth="1"/>
    <col min="54" max="54" width="7.8515625" style="104" customWidth="1"/>
    <col min="55" max="55" width="6.57421875" style="104" customWidth="1"/>
    <col min="56" max="56" width="6.57421875" style="144" customWidth="1"/>
    <col min="57" max="16384" width="9.140625" style="144" customWidth="1"/>
  </cols>
  <sheetData>
    <row r="1" spans="1:73" s="1045" customFormat="1" ht="12" thickBot="1">
      <c r="A1" s="2053" t="s">
        <v>48</v>
      </c>
      <c r="B1" s="2053" t="s">
        <v>0</v>
      </c>
      <c r="C1" s="2052"/>
      <c r="D1" s="2052"/>
      <c r="E1" s="2052"/>
      <c r="F1" s="2052"/>
      <c r="G1" s="2052"/>
      <c r="H1" s="2052"/>
      <c r="I1" s="2052"/>
      <c r="J1" s="2052"/>
      <c r="K1" s="2052"/>
      <c r="L1" s="2055"/>
      <c r="M1" s="2053" t="s">
        <v>1</v>
      </c>
      <c r="N1" s="2052"/>
      <c r="O1" s="2052"/>
      <c r="P1" s="2052"/>
      <c r="Q1" s="2052"/>
      <c r="R1" s="2052"/>
      <c r="S1" s="2052"/>
      <c r="T1" s="2052"/>
      <c r="U1" s="2052"/>
      <c r="V1" s="2055"/>
      <c r="W1" s="2056" t="s">
        <v>2</v>
      </c>
      <c r="X1" s="2057"/>
      <c r="Y1" s="2057"/>
      <c r="Z1" s="2057"/>
      <c r="AA1" s="2057"/>
      <c r="AB1" s="2057"/>
      <c r="AC1" s="2057"/>
      <c r="AD1" s="2057"/>
      <c r="AE1" s="2057"/>
      <c r="AF1" s="2057"/>
      <c r="AG1" s="2057"/>
      <c r="AH1" s="2048" t="s">
        <v>3</v>
      </c>
      <c r="AI1" s="2049"/>
      <c r="AJ1" s="2049"/>
      <c r="AK1" s="2050"/>
      <c r="AL1" s="2050"/>
      <c r="AM1" s="2050"/>
      <c r="AN1" s="2050"/>
      <c r="AO1" s="2050"/>
      <c r="AP1" s="2050"/>
      <c r="AQ1" s="2050"/>
      <c r="AR1" s="2051"/>
      <c r="AS1" s="2052" t="s">
        <v>4</v>
      </c>
      <c r="AT1" s="2052"/>
      <c r="AU1" s="2052"/>
      <c r="AV1" s="2052"/>
      <c r="AW1" s="2052"/>
      <c r="AX1" s="2052"/>
      <c r="AY1" s="2052"/>
      <c r="AZ1" s="2052"/>
      <c r="BA1" s="2052"/>
      <c r="BB1" s="2052"/>
      <c r="BC1" s="2052"/>
      <c r="BD1" s="534"/>
      <c r="BE1" s="534"/>
      <c r="BF1" s="534"/>
      <c r="BG1" s="534"/>
      <c r="BH1" s="534"/>
      <c r="BI1" s="534"/>
      <c r="BJ1" s="534"/>
      <c r="BK1" s="534"/>
      <c r="BL1" s="534"/>
      <c r="BM1" s="534"/>
      <c r="BN1" s="534"/>
      <c r="BO1" s="534"/>
      <c r="BP1" s="534"/>
      <c r="BQ1" s="534"/>
      <c r="BR1" s="534"/>
      <c r="BS1" s="534"/>
      <c r="BT1" s="534"/>
      <c r="BU1" s="534"/>
    </row>
    <row r="2" spans="1:73" s="1015" customFormat="1" ht="12" thickBot="1">
      <c r="A2" s="2054"/>
      <c r="B2" s="299" t="s">
        <v>179</v>
      </c>
      <c r="C2" s="291">
        <v>2008</v>
      </c>
      <c r="D2" s="291">
        <v>2007</v>
      </c>
      <c r="E2" s="291">
        <v>2006</v>
      </c>
      <c r="F2" s="291">
        <v>2005</v>
      </c>
      <c r="G2" s="291">
        <v>2004</v>
      </c>
      <c r="H2" s="291" t="s">
        <v>5</v>
      </c>
      <c r="I2" s="291" t="s">
        <v>6</v>
      </c>
      <c r="J2" s="291">
        <v>2001</v>
      </c>
      <c r="K2" s="291" t="s">
        <v>7</v>
      </c>
      <c r="L2" s="300" t="s">
        <v>8</v>
      </c>
      <c r="M2" s="590" t="s">
        <v>179</v>
      </c>
      <c r="N2" s="591">
        <v>2008</v>
      </c>
      <c r="O2" s="591">
        <v>2007</v>
      </c>
      <c r="P2" s="591">
        <v>2005</v>
      </c>
      <c r="Q2" s="591">
        <v>2004</v>
      </c>
      <c r="R2" s="591" t="s">
        <v>5</v>
      </c>
      <c r="S2" s="591" t="s">
        <v>6</v>
      </c>
      <c r="T2" s="591">
        <v>2001</v>
      </c>
      <c r="U2" s="591" t="s">
        <v>7</v>
      </c>
      <c r="V2" s="1041" t="s">
        <v>8</v>
      </c>
      <c r="W2" s="299" t="s">
        <v>179</v>
      </c>
      <c r="X2" s="291">
        <v>2008</v>
      </c>
      <c r="Y2" s="291">
        <v>2007</v>
      </c>
      <c r="Z2" s="461">
        <v>2006</v>
      </c>
      <c r="AA2" s="461">
        <v>2005</v>
      </c>
      <c r="AB2" s="461">
        <v>2004</v>
      </c>
      <c r="AC2" s="461" t="s">
        <v>5</v>
      </c>
      <c r="AD2" s="461" t="s">
        <v>6</v>
      </c>
      <c r="AE2" s="461">
        <v>2001</v>
      </c>
      <c r="AF2" s="461" t="s">
        <v>7</v>
      </c>
      <c r="AG2" s="462" t="s">
        <v>8</v>
      </c>
      <c r="AH2" s="590" t="s">
        <v>179</v>
      </c>
      <c r="AI2" s="591">
        <v>2008</v>
      </c>
      <c r="AJ2" s="591">
        <v>2007</v>
      </c>
      <c r="AK2" s="591">
        <v>2006</v>
      </c>
      <c r="AL2" s="591">
        <v>2005</v>
      </c>
      <c r="AM2" s="591">
        <v>2004</v>
      </c>
      <c r="AN2" s="591" t="s">
        <v>5</v>
      </c>
      <c r="AO2" s="591" t="s">
        <v>6</v>
      </c>
      <c r="AP2" s="591">
        <v>2001</v>
      </c>
      <c r="AQ2" s="591" t="s">
        <v>7</v>
      </c>
      <c r="AR2" s="1044" t="s">
        <v>8</v>
      </c>
      <c r="AS2" s="299" t="s">
        <v>179</v>
      </c>
      <c r="AT2" s="291">
        <v>2008</v>
      </c>
      <c r="AU2" s="291">
        <v>2007</v>
      </c>
      <c r="AV2" s="291">
        <v>2006</v>
      </c>
      <c r="AW2" s="291">
        <v>2005</v>
      </c>
      <c r="AX2" s="291">
        <v>2004</v>
      </c>
      <c r="AY2" s="291" t="s">
        <v>5</v>
      </c>
      <c r="AZ2" s="291" t="s">
        <v>6</v>
      </c>
      <c r="BA2" s="291">
        <v>2001</v>
      </c>
      <c r="BB2" s="291" t="s">
        <v>7</v>
      </c>
      <c r="BC2" s="300" t="s">
        <v>8</v>
      </c>
      <c r="BD2" s="1016"/>
      <c r="BE2" s="1016"/>
      <c r="BF2" s="1016"/>
      <c r="BG2" s="1016"/>
      <c r="BH2" s="1016"/>
      <c r="BI2" s="1016"/>
      <c r="BJ2" s="1016"/>
      <c r="BK2" s="1016"/>
      <c r="BL2" s="1016"/>
      <c r="BM2" s="1016"/>
      <c r="BN2" s="1016"/>
      <c r="BO2" s="1016"/>
      <c r="BP2" s="1016"/>
      <c r="BQ2" s="1016"/>
      <c r="BR2" s="1016"/>
      <c r="BS2" s="1016"/>
      <c r="BT2" s="1016"/>
      <c r="BU2" s="1016"/>
    </row>
    <row r="3" spans="1:87" s="1046" customFormat="1" ht="11.25">
      <c r="A3" s="535" t="s">
        <v>13</v>
      </c>
      <c r="B3" s="679">
        <f aca="true" t="shared" si="0" ref="B3:B9">SUM(C3-D3)/D3</f>
        <v>-0.04125441438286198</v>
      </c>
      <c r="C3" s="265">
        <v>65699</v>
      </c>
      <c r="D3" s="680">
        <v>68526</v>
      </c>
      <c r="E3" s="680">
        <v>71718</v>
      </c>
      <c r="F3" s="680">
        <v>63956</v>
      </c>
      <c r="G3" s="680">
        <v>48294</v>
      </c>
      <c r="H3" s="680">
        <v>43573</v>
      </c>
      <c r="I3" s="680">
        <v>35349</v>
      </c>
      <c r="J3" s="680">
        <v>38829</v>
      </c>
      <c r="K3" s="680">
        <v>36559</v>
      </c>
      <c r="L3" s="1244">
        <v>38295</v>
      </c>
      <c r="M3" s="1241">
        <f aca="true" t="shared" si="1" ref="M3:M9">SUM(N3-O3)/O3</f>
        <v>0.011889053453615187</v>
      </c>
      <c r="N3" s="329">
        <v>75153</v>
      </c>
      <c r="O3" s="1039">
        <v>74270</v>
      </c>
      <c r="P3" s="1039">
        <v>68430</v>
      </c>
      <c r="Q3" s="1039">
        <v>62771</v>
      </c>
      <c r="R3" s="1039">
        <v>64540</v>
      </c>
      <c r="S3" s="1039">
        <v>54151</v>
      </c>
      <c r="T3" s="1039">
        <v>64052</v>
      </c>
      <c r="U3" s="1039">
        <v>63203</v>
      </c>
      <c r="V3" s="1040">
        <v>57225</v>
      </c>
      <c r="W3" s="965">
        <f aca="true" t="shared" si="2" ref="W3:W8">SUM(X3-Y3)/Y3</f>
        <v>-0.013613826717835233</v>
      </c>
      <c r="X3" s="463">
        <f>+C3+N3</f>
        <v>140852</v>
      </c>
      <c r="Y3" s="463">
        <f>+D3+O3</f>
        <v>142796</v>
      </c>
      <c r="Z3" s="463">
        <f aca="true" t="shared" si="3" ref="Z3:Z8">+E3+O3</f>
        <v>145988</v>
      </c>
      <c r="AA3" s="463">
        <f aca="true" t="shared" si="4" ref="AA3:AA15">+F3+P3</f>
        <v>132386</v>
      </c>
      <c r="AB3" s="463">
        <f aca="true" t="shared" si="5" ref="AB3:AB15">+G3+Q3</f>
        <v>111065</v>
      </c>
      <c r="AC3" s="463">
        <f aca="true" t="shared" si="6" ref="AC3:AC15">+H3+R3</f>
        <v>108113</v>
      </c>
      <c r="AD3" s="463">
        <f aca="true" t="shared" si="7" ref="AD3:AD15">+I3+S3</f>
        <v>89500</v>
      </c>
      <c r="AE3" s="463">
        <f aca="true" t="shared" si="8" ref="AE3:AE15">+J3+T3</f>
        <v>102881</v>
      </c>
      <c r="AF3" s="463">
        <f aca="true" t="shared" si="9" ref="AF3:AF15">+K3+U3</f>
        <v>99762</v>
      </c>
      <c r="AG3" s="1350">
        <f aca="true" t="shared" si="10" ref="AG3:AG15">+L3+V3</f>
        <v>95520</v>
      </c>
      <c r="AH3" s="91">
        <f aca="true" t="shared" si="11" ref="AH3:AH9">SUM(AI3-AJ3)/AJ3</f>
        <v>-0.13090494097397617</v>
      </c>
      <c r="AI3" s="23">
        <v>46454</v>
      </c>
      <c r="AJ3" s="23">
        <v>53451</v>
      </c>
      <c r="AK3" s="23">
        <v>50806</v>
      </c>
      <c r="AL3" s="23">
        <v>48587</v>
      </c>
      <c r="AM3" s="23">
        <v>37528</v>
      </c>
      <c r="AN3" s="856">
        <v>42682</v>
      </c>
      <c r="AO3" s="856">
        <v>33394</v>
      </c>
      <c r="AP3" s="856">
        <v>32210</v>
      </c>
      <c r="AQ3" s="856">
        <v>37328</v>
      </c>
      <c r="AR3" s="1518">
        <v>30130</v>
      </c>
      <c r="AS3" s="235">
        <f aca="true" t="shared" si="12" ref="AS3:AS8">SUM(AT3-AU3)/AU3</f>
        <v>-0.045559932126350976</v>
      </c>
      <c r="AT3" s="197">
        <f aca="true" t="shared" si="13" ref="AT3:AT8">+X3+AI3</f>
        <v>187306</v>
      </c>
      <c r="AU3" s="237">
        <v>196247</v>
      </c>
      <c r="AV3" s="197">
        <f>+Z3+AK3</f>
        <v>196794</v>
      </c>
      <c r="AW3" s="197">
        <f>+AA3+AL3</f>
        <v>180973</v>
      </c>
      <c r="AX3" s="197">
        <f>+AB3+AM3</f>
        <v>148593</v>
      </c>
      <c r="AY3" s="197">
        <f>+AC3+AN3</f>
        <v>150795</v>
      </c>
      <c r="AZ3" s="197">
        <v>122894</v>
      </c>
      <c r="BA3" s="197">
        <v>135091</v>
      </c>
      <c r="BB3" s="197">
        <v>137090</v>
      </c>
      <c r="BC3" s="198">
        <v>125650</v>
      </c>
      <c r="BD3" s="783">
        <v>187306</v>
      </c>
      <c r="BE3" s="534"/>
      <c r="BF3" s="534"/>
      <c r="BG3" s="534"/>
      <c r="BH3" s="534"/>
      <c r="BI3" s="534"/>
      <c r="BJ3" s="534"/>
      <c r="BK3" s="534"/>
      <c r="BL3" s="534"/>
      <c r="BM3" s="534"/>
      <c r="BN3" s="534"/>
      <c r="BO3" s="534"/>
      <c r="BP3" s="534"/>
      <c r="BQ3" s="534"/>
      <c r="BR3" s="534"/>
      <c r="BS3" s="534"/>
      <c r="BT3" s="534"/>
      <c r="BU3" s="534"/>
      <c r="BV3" s="534"/>
      <c r="BW3" s="534"/>
      <c r="BX3" s="534"/>
      <c r="BY3" s="534"/>
      <c r="BZ3" s="534"/>
      <c r="CA3" s="534"/>
      <c r="CB3" s="534"/>
      <c r="CC3" s="534"/>
      <c r="CD3" s="534"/>
      <c r="CE3" s="534"/>
      <c r="CF3" s="534"/>
      <c r="CG3" s="534"/>
      <c r="CH3" s="534"/>
      <c r="CI3" s="534"/>
    </row>
    <row r="4" spans="1:87" s="1047" customFormat="1" ht="11.25">
      <c r="A4" s="539" t="s">
        <v>14</v>
      </c>
      <c r="B4" s="359">
        <f t="shared" si="0"/>
        <v>-0.020608649225840898</v>
      </c>
      <c r="C4" s="265">
        <v>64204</v>
      </c>
      <c r="D4" s="265">
        <v>65555</v>
      </c>
      <c r="E4" s="265">
        <v>59580</v>
      </c>
      <c r="F4" s="265">
        <v>61922</v>
      </c>
      <c r="G4" s="265">
        <v>38203</v>
      </c>
      <c r="H4" s="265">
        <v>42573</v>
      </c>
      <c r="I4" s="265">
        <v>34794</v>
      </c>
      <c r="J4" s="265">
        <v>33094</v>
      </c>
      <c r="K4" s="265">
        <v>36827</v>
      </c>
      <c r="L4" s="1245">
        <v>38201</v>
      </c>
      <c r="M4" s="360">
        <f t="shared" si="1"/>
        <v>0.3022881342286202</v>
      </c>
      <c r="N4" s="329">
        <v>80876</v>
      </c>
      <c r="O4" s="274">
        <v>62103</v>
      </c>
      <c r="P4" s="274">
        <v>69949</v>
      </c>
      <c r="Q4" s="274">
        <v>58755</v>
      </c>
      <c r="R4" s="274">
        <v>63742</v>
      </c>
      <c r="S4" s="274">
        <v>55412</v>
      </c>
      <c r="T4" s="274">
        <v>58101</v>
      </c>
      <c r="U4" s="274">
        <v>64038</v>
      </c>
      <c r="V4" s="361">
        <v>57176</v>
      </c>
      <c r="W4" s="389">
        <f t="shared" si="2"/>
        <v>0.13647401651287033</v>
      </c>
      <c r="X4" s="76">
        <f aca="true" t="shared" si="14" ref="X4:Y9">+C4+N4</f>
        <v>145080</v>
      </c>
      <c r="Y4" s="76">
        <f t="shared" si="14"/>
        <v>127658</v>
      </c>
      <c r="Z4" s="76">
        <f t="shared" si="3"/>
        <v>121683</v>
      </c>
      <c r="AA4" s="76">
        <f t="shared" si="4"/>
        <v>131871</v>
      </c>
      <c r="AB4" s="76">
        <f t="shared" si="5"/>
        <v>96958</v>
      </c>
      <c r="AC4" s="76">
        <f t="shared" si="6"/>
        <v>106315</v>
      </c>
      <c r="AD4" s="76">
        <f t="shared" si="7"/>
        <v>90206</v>
      </c>
      <c r="AE4" s="76">
        <f t="shared" si="8"/>
        <v>91195</v>
      </c>
      <c r="AF4" s="76">
        <f t="shared" si="9"/>
        <v>100865</v>
      </c>
      <c r="AG4" s="1351">
        <f t="shared" si="10"/>
        <v>95377</v>
      </c>
      <c r="AH4" s="170">
        <f t="shared" si="11"/>
        <v>-0.1787962324833448</v>
      </c>
      <c r="AI4" s="1765">
        <v>35747</v>
      </c>
      <c r="AJ4" s="38">
        <v>43530</v>
      </c>
      <c r="AK4" s="38">
        <v>48277</v>
      </c>
      <c r="AL4" s="38">
        <v>33450</v>
      </c>
      <c r="AM4" s="38">
        <v>33937</v>
      </c>
      <c r="AN4" s="123">
        <v>35800</v>
      </c>
      <c r="AO4" s="123">
        <v>28337</v>
      </c>
      <c r="AP4" s="123">
        <v>26997</v>
      </c>
      <c r="AQ4" s="123">
        <v>34529</v>
      </c>
      <c r="AR4" s="669">
        <v>27589</v>
      </c>
      <c r="AS4" s="52">
        <f t="shared" si="12"/>
        <v>0.05630651681192607</v>
      </c>
      <c r="AT4" s="121">
        <f t="shared" si="13"/>
        <v>180827</v>
      </c>
      <c r="AU4" s="30">
        <v>171188</v>
      </c>
      <c r="AV4" s="121">
        <f aca="true" t="shared" si="15" ref="AV4:AV9">+Z4+AK4</f>
        <v>169960</v>
      </c>
      <c r="AW4" s="121">
        <f aca="true" t="shared" si="16" ref="AW4:AW15">+AA4+AL4</f>
        <v>165321</v>
      </c>
      <c r="AX4" s="121">
        <f aca="true" t="shared" si="17" ref="AX4:AX15">+AB4+AM4</f>
        <v>130895</v>
      </c>
      <c r="AY4" s="121">
        <f aca="true" t="shared" si="18" ref="AY4:AY15">+AC4+AN4</f>
        <v>142115</v>
      </c>
      <c r="AZ4" s="121">
        <v>118543</v>
      </c>
      <c r="BA4" s="121">
        <v>118192</v>
      </c>
      <c r="BB4" s="121">
        <v>135394</v>
      </c>
      <c r="BC4" s="122">
        <v>122966</v>
      </c>
      <c r="BD4" s="783">
        <v>180827</v>
      </c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4"/>
      <c r="CI4" s="534"/>
    </row>
    <row r="5" spans="1:87" s="1047" customFormat="1" ht="11.25">
      <c r="A5" s="539" t="s">
        <v>15</v>
      </c>
      <c r="B5" s="359">
        <f t="shared" si="0"/>
        <v>-0.1219454082468393</v>
      </c>
      <c r="C5" s="265">
        <v>58964</v>
      </c>
      <c r="D5" s="265">
        <v>67153</v>
      </c>
      <c r="E5" s="265">
        <v>73793</v>
      </c>
      <c r="F5" s="265">
        <v>59129</v>
      </c>
      <c r="G5" s="265">
        <v>49162</v>
      </c>
      <c r="H5" s="265">
        <v>49583</v>
      </c>
      <c r="I5" s="265">
        <v>39236</v>
      </c>
      <c r="J5" s="265">
        <v>41595</v>
      </c>
      <c r="K5" s="265">
        <v>39314</v>
      </c>
      <c r="L5" s="1245">
        <v>36919</v>
      </c>
      <c r="M5" s="360">
        <f t="shared" si="1"/>
        <v>0.06396163094892054</v>
      </c>
      <c r="N5" s="329">
        <v>80527</v>
      </c>
      <c r="O5" s="274">
        <v>75686</v>
      </c>
      <c r="P5" s="274">
        <v>73100</v>
      </c>
      <c r="Q5" s="274">
        <v>72452</v>
      </c>
      <c r="R5" s="274">
        <v>67736</v>
      </c>
      <c r="S5" s="274">
        <v>60394</v>
      </c>
      <c r="T5" s="274">
        <v>67279</v>
      </c>
      <c r="U5" s="274">
        <v>70449</v>
      </c>
      <c r="V5" s="361">
        <v>65258</v>
      </c>
      <c r="W5" s="389">
        <f t="shared" si="2"/>
        <v>-0.023438976750047257</v>
      </c>
      <c r="X5" s="76">
        <f>+C5+N5</f>
        <v>139491</v>
      </c>
      <c r="Y5" s="76">
        <f t="shared" si="14"/>
        <v>142839</v>
      </c>
      <c r="Z5" s="76">
        <f t="shared" si="3"/>
        <v>149479</v>
      </c>
      <c r="AA5" s="76">
        <f t="shared" si="4"/>
        <v>132229</v>
      </c>
      <c r="AB5" s="76">
        <f t="shared" si="5"/>
        <v>121614</v>
      </c>
      <c r="AC5" s="76">
        <f t="shared" si="6"/>
        <v>117319</v>
      </c>
      <c r="AD5" s="76">
        <f t="shared" si="7"/>
        <v>99630</v>
      </c>
      <c r="AE5" s="76">
        <f t="shared" si="8"/>
        <v>108874</v>
      </c>
      <c r="AF5" s="76">
        <f t="shared" si="9"/>
        <v>109763</v>
      </c>
      <c r="AG5" s="1351">
        <f t="shared" si="10"/>
        <v>102177</v>
      </c>
      <c r="AH5" s="170">
        <f t="shared" si="11"/>
        <v>-0.16196051675946915</v>
      </c>
      <c r="AI5" s="38">
        <v>38078</v>
      </c>
      <c r="AJ5" s="38">
        <v>45437</v>
      </c>
      <c r="AK5" s="38">
        <v>54795</v>
      </c>
      <c r="AL5" s="38">
        <v>47029</v>
      </c>
      <c r="AM5" s="38">
        <v>37678</v>
      </c>
      <c r="AN5" s="123">
        <v>38776</v>
      </c>
      <c r="AO5" s="123">
        <v>31037</v>
      </c>
      <c r="AP5" s="123">
        <v>32027</v>
      </c>
      <c r="AQ5" s="123">
        <v>34159</v>
      </c>
      <c r="AR5" s="669">
        <v>32937</v>
      </c>
      <c r="AS5" s="52">
        <f t="shared" si="12"/>
        <v>-0.05686863965667424</v>
      </c>
      <c r="AT5" s="121">
        <f t="shared" si="13"/>
        <v>177569</v>
      </c>
      <c r="AU5" s="30">
        <v>188276</v>
      </c>
      <c r="AV5" s="121">
        <f t="shared" si="15"/>
        <v>204274</v>
      </c>
      <c r="AW5" s="121">
        <f t="shared" si="16"/>
        <v>179258</v>
      </c>
      <c r="AX5" s="121">
        <f t="shared" si="17"/>
        <v>159292</v>
      </c>
      <c r="AY5" s="121">
        <f t="shared" si="18"/>
        <v>156095</v>
      </c>
      <c r="AZ5" s="121">
        <v>130667</v>
      </c>
      <c r="BA5" s="121">
        <v>140901</v>
      </c>
      <c r="BB5" s="121">
        <v>143922</v>
      </c>
      <c r="BC5" s="122">
        <v>135114</v>
      </c>
      <c r="BD5" s="783">
        <v>177569</v>
      </c>
      <c r="BE5" s="534"/>
      <c r="BF5" s="534"/>
      <c r="BG5" s="534"/>
      <c r="BH5" s="534"/>
      <c r="BI5" s="534"/>
      <c r="BJ5" s="534"/>
      <c r="BK5" s="534"/>
      <c r="BL5" s="534"/>
      <c r="BM5" s="534"/>
      <c r="BN5" s="534"/>
      <c r="BO5" s="534"/>
      <c r="BP5" s="534"/>
      <c r="BQ5" s="534"/>
      <c r="BR5" s="534"/>
      <c r="BS5" s="534"/>
      <c r="BT5" s="534"/>
      <c r="BU5" s="534"/>
      <c r="BV5" s="534"/>
      <c r="BW5" s="534"/>
      <c r="BX5" s="534"/>
      <c r="BY5" s="534"/>
      <c r="BZ5" s="534"/>
      <c r="CA5" s="534"/>
      <c r="CB5" s="534"/>
      <c r="CC5" s="534"/>
      <c r="CD5" s="534"/>
      <c r="CE5" s="534"/>
      <c r="CF5" s="534"/>
      <c r="CG5" s="534"/>
      <c r="CH5" s="534"/>
      <c r="CI5" s="534"/>
    </row>
    <row r="6" spans="1:87" s="1047" customFormat="1" ht="11.25">
      <c r="A6" s="539" t="s">
        <v>16</v>
      </c>
      <c r="B6" s="359">
        <f t="shared" si="0"/>
        <v>-0.037042373247655136</v>
      </c>
      <c r="C6" s="352">
        <v>66836</v>
      </c>
      <c r="D6" s="265">
        <v>69407</v>
      </c>
      <c r="E6" s="265">
        <v>75243</v>
      </c>
      <c r="F6" s="265">
        <v>65116</v>
      </c>
      <c r="G6" s="265">
        <v>53433</v>
      </c>
      <c r="H6" s="265">
        <v>52345</v>
      </c>
      <c r="I6" s="265">
        <v>41296</v>
      </c>
      <c r="J6" s="265">
        <v>39699</v>
      </c>
      <c r="K6" s="265">
        <v>39935</v>
      </c>
      <c r="L6" s="1245">
        <v>40556</v>
      </c>
      <c r="M6" s="360">
        <f t="shared" si="1"/>
        <v>0.13781384663485718</v>
      </c>
      <c r="N6" s="329">
        <v>83701</v>
      </c>
      <c r="O6" s="274">
        <v>73563</v>
      </c>
      <c r="P6" s="274">
        <v>69966</v>
      </c>
      <c r="Q6" s="274">
        <v>66405</v>
      </c>
      <c r="R6" s="274">
        <v>62737</v>
      </c>
      <c r="S6" s="274">
        <v>62250</v>
      </c>
      <c r="T6" s="274">
        <v>62866</v>
      </c>
      <c r="U6" s="274">
        <v>65985</v>
      </c>
      <c r="V6" s="361">
        <v>63845</v>
      </c>
      <c r="W6" s="389">
        <f t="shared" si="2"/>
        <v>0.05292718752185773</v>
      </c>
      <c r="X6" s="76">
        <f>+C6+N6</f>
        <v>150537</v>
      </c>
      <c r="Y6" s="76">
        <f t="shared" si="14"/>
        <v>142970</v>
      </c>
      <c r="Z6" s="76">
        <f t="shared" si="3"/>
        <v>148806</v>
      </c>
      <c r="AA6" s="76">
        <f t="shared" si="4"/>
        <v>135082</v>
      </c>
      <c r="AB6" s="76">
        <f t="shared" si="5"/>
        <v>119838</v>
      </c>
      <c r="AC6" s="76">
        <f t="shared" si="6"/>
        <v>115082</v>
      </c>
      <c r="AD6" s="76">
        <f t="shared" si="7"/>
        <v>103546</v>
      </c>
      <c r="AE6" s="76">
        <f t="shared" si="8"/>
        <v>102565</v>
      </c>
      <c r="AF6" s="76">
        <f t="shared" si="9"/>
        <v>105920</v>
      </c>
      <c r="AG6" s="1351">
        <f t="shared" si="10"/>
        <v>104401</v>
      </c>
      <c r="AH6" s="170">
        <f t="shared" si="11"/>
        <v>-0.11367424494966331</v>
      </c>
      <c r="AI6" s="38">
        <v>39882</v>
      </c>
      <c r="AJ6" s="38">
        <v>44997</v>
      </c>
      <c r="AK6" s="38">
        <v>52017</v>
      </c>
      <c r="AL6" s="38">
        <v>44005</v>
      </c>
      <c r="AM6" s="38">
        <v>43473</v>
      </c>
      <c r="AN6" s="123">
        <v>46026</v>
      </c>
      <c r="AO6" s="123">
        <v>32083</v>
      </c>
      <c r="AP6" s="123">
        <v>35443</v>
      </c>
      <c r="AQ6" s="123">
        <v>37702</v>
      </c>
      <c r="AR6" s="669">
        <v>36696</v>
      </c>
      <c r="AS6" s="52">
        <f t="shared" si="12"/>
        <v>0.013044842977756734</v>
      </c>
      <c r="AT6" s="121">
        <f t="shared" si="13"/>
        <v>190419</v>
      </c>
      <c r="AU6" s="30">
        <v>187967</v>
      </c>
      <c r="AV6" s="121">
        <f t="shared" si="15"/>
        <v>200823</v>
      </c>
      <c r="AW6" s="121">
        <f t="shared" si="16"/>
        <v>179087</v>
      </c>
      <c r="AX6" s="121">
        <f t="shared" si="17"/>
        <v>163311</v>
      </c>
      <c r="AY6" s="121">
        <f t="shared" si="18"/>
        <v>161108</v>
      </c>
      <c r="AZ6" s="121">
        <v>135629</v>
      </c>
      <c r="BA6" s="121">
        <v>138008</v>
      </c>
      <c r="BB6" s="121">
        <v>143622</v>
      </c>
      <c r="BC6" s="122">
        <v>141097</v>
      </c>
      <c r="BD6" s="783">
        <v>190419</v>
      </c>
      <c r="BE6" s="534"/>
      <c r="BF6" s="534"/>
      <c r="BG6" s="534"/>
      <c r="BH6" s="534"/>
      <c r="BI6" s="534"/>
      <c r="BJ6" s="534"/>
      <c r="BK6" s="534"/>
      <c r="BL6" s="534"/>
      <c r="BM6" s="534"/>
      <c r="BN6" s="534"/>
      <c r="BO6" s="534"/>
      <c r="BP6" s="534"/>
      <c r="BQ6" s="534"/>
      <c r="BR6" s="534"/>
      <c r="BS6" s="534"/>
      <c r="BT6" s="534"/>
      <c r="BU6" s="534"/>
      <c r="BV6" s="534"/>
      <c r="BW6" s="534"/>
      <c r="BX6" s="534"/>
      <c r="BY6" s="534"/>
      <c r="BZ6" s="534"/>
      <c r="CA6" s="534"/>
      <c r="CB6" s="534"/>
      <c r="CC6" s="534"/>
      <c r="CD6" s="534"/>
      <c r="CE6" s="534"/>
      <c r="CF6" s="534"/>
      <c r="CG6" s="534"/>
      <c r="CH6" s="534"/>
      <c r="CI6" s="534"/>
    </row>
    <row r="7" spans="1:87" s="1047" customFormat="1" ht="11.25">
      <c r="A7" s="539" t="s">
        <v>17</v>
      </c>
      <c r="B7" s="359">
        <f t="shared" si="0"/>
        <v>-0.05439890710382514</v>
      </c>
      <c r="C7" s="352">
        <v>69218</v>
      </c>
      <c r="D7" s="265">
        <v>73200</v>
      </c>
      <c r="E7" s="265">
        <v>73419</v>
      </c>
      <c r="F7" s="265">
        <v>71754</v>
      </c>
      <c r="G7" s="265">
        <v>55854</v>
      </c>
      <c r="H7" s="265">
        <v>52599</v>
      </c>
      <c r="I7" s="265">
        <v>46807</v>
      </c>
      <c r="J7" s="265">
        <v>40339</v>
      </c>
      <c r="K7" s="265">
        <v>41142</v>
      </c>
      <c r="L7" s="1245">
        <v>42122</v>
      </c>
      <c r="M7" s="360">
        <f t="shared" si="1"/>
        <v>0.02870146269599074</v>
      </c>
      <c r="N7" s="329">
        <v>78206</v>
      </c>
      <c r="O7" s="274">
        <v>76024</v>
      </c>
      <c r="P7" s="274">
        <v>69899</v>
      </c>
      <c r="Q7" s="274">
        <v>61473</v>
      </c>
      <c r="R7" s="274">
        <v>62638</v>
      </c>
      <c r="S7" s="274">
        <v>64950</v>
      </c>
      <c r="T7" s="274">
        <v>65024</v>
      </c>
      <c r="U7" s="274">
        <v>70080</v>
      </c>
      <c r="V7" s="361">
        <v>64491</v>
      </c>
      <c r="W7" s="389">
        <f t="shared" si="2"/>
        <v>-0.012062402830643864</v>
      </c>
      <c r="X7" s="76">
        <f>+C7+N7</f>
        <v>147424</v>
      </c>
      <c r="Y7" s="76">
        <f t="shared" si="14"/>
        <v>149224</v>
      </c>
      <c r="Z7" s="76">
        <f t="shared" si="3"/>
        <v>149443</v>
      </c>
      <c r="AA7" s="76">
        <f t="shared" si="4"/>
        <v>141653</v>
      </c>
      <c r="AB7" s="76">
        <f t="shared" si="5"/>
        <v>117327</v>
      </c>
      <c r="AC7" s="76">
        <f t="shared" si="6"/>
        <v>115237</v>
      </c>
      <c r="AD7" s="76">
        <f t="shared" si="7"/>
        <v>111757</v>
      </c>
      <c r="AE7" s="76">
        <f t="shared" si="8"/>
        <v>105363</v>
      </c>
      <c r="AF7" s="76">
        <f t="shared" si="9"/>
        <v>111222</v>
      </c>
      <c r="AG7" s="1351">
        <f t="shared" si="10"/>
        <v>106613</v>
      </c>
      <c r="AH7" s="170">
        <f t="shared" si="11"/>
        <v>-0.32002392702258114</v>
      </c>
      <c r="AI7" s="38">
        <v>36376</v>
      </c>
      <c r="AJ7" s="38">
        <v>53496</v>
      </c>
      <c r="AK7" s="38">
        <v>64656</v>
      </c>
      <c r="AL7" s="38">
        <v>52182</v>
      </c>
      <c r="AM7" s="38">
        <v>36793</v>
      </c>
      <c r="AN7" s="123">
        <v>56710</v>
      </c>
      <c r="AO7" s="123">
        <v>40346</v>
      </c>
      <c r="AP7" s="123">
        <v>35521</v>
      </c>
      <c r="AQ7" s="123">
        <v>43832</v>
      </c>
      <c r="AR7" s="669">
        <v>32599</v>
      </c>
      <c r="AS7" s="52">
        <f t="shared" si="12"/>
        <v>-0.09333070244672455</v>
      </c>
      <c r="AT7" s="121">
        <f t="shared" si="13"/>
        <v>183800</v>
      </c>
      <c r="AU7" s="30">
        <v>202720</v>
      </c>
      <c r="AV7" s="121">
        <f t="shared" si="15"/>
        <v>214099</v>
      </c>
      <c r="AW7" s="121">
        <f t="shared" si="16"/>
        <v>193835</v>
      </c>
      <c r="AX7" s="121">
        <f t="shared" si="17"/>
        <v>154120</v>
      </c>
      <c r="AY7" s="121">
        <f t="shared" si="18"/>
        <v>171947</v>
      </c>
      <c r="AZ7" s="121">
        <v>152103</v>
      </c>
      <c r="BA7" s="121">
        <v>140884</v>
      </c>
      <c r="BB7" s="121">
        <v>155054</v>
      </c>
      <c r="BC7" s="122">
        <v>139212</v>
      </c>
      <c r="BD7" s="783">
        <v>183800</v>
      </c>
      <c r="BE7" s="534"/>
      <c r="BF7" s="534"/>
      <c r="BG7" s="534"/>
      <c r="BH7" s="534"/>
      <c r="BI7" s="534"/>
      <c r="BJ7" s="534"/>
      <c r="BK7" s="534"/>
      <c r="BL7" s="534"/>
      <c r="BM7" s="534"/>
      <c r="BN7" s="534"/>
      <c r="BO7" s="534"/>
      <c r="BP7" s="534"/>
      <c r="BQ7" s="534"/>
      <c r="BR7" s="534"/>
      <c r="BS7" s="534"/>
      <c r="BT7" s="534"/>
      <c r="BU7" s="534"/>
      <c r="BV7" s="534"/>
      <c r="BW7" s="534"/>
      <c r="BX7" s="534"/>
      <c r="BY7" s="534"/>
      <c r="BZ7" s="534"/>
      <c r="CA7" s="534"/>
      <c r="CB7" s="534"/>
      <c r="CC7" s="534"/>
      <c r="CD7" s="534"/>
      <c r="CE7" s="534"/>
      <c r="CF7" s="534"/>
      <c r="CG7" s="534"/>
      <c r="CH7" s="534"/>
      <c r="CI7" s="534"/>
    </row>
    <row r="8" spans="1:87" s="1047" customFormat="1" ht="11.25">
      <c r="A8" s="539" t="s">
        <v>18</v>
      </c>
      <c r="B8" s="359">
        <f t="shared" si="0"/>
        <v>-0.04016086008692944</v>
      </c>
      <c r="C8" s="352">
        <v>70887</v>
      </c>
      <c r="D8" s="265">
        <v>73853</v>
      </c>
      <c r="E8" s="265">
        <v>78326</v>
      </c>
      <c r="F8" s="265">
        <v>69995</v>
      </c>
      <c r="G8" s="265">
        <v>56935</v>
      </c>
      <c r="H8" s="265">
        <v>54370</v>
      </c>
      <c r="I8" s="265">
        <v>50163</v>
      </c>
      <c r="J8" s="265">
        <v>39619</v>
      </c>
      <c r="K8" s="265">
        <v>44990</v>
      </c>
      <c r="L8" s="1245">
        <v>41964</v>
      </c>
      <c r="M8" s="360">
        <f t="shared" si="1"/>
        <v>0.0960870384832898</v>
      </c>
      <c r="N8" s="329">
        <v>81402</v>
      </c>
      <c r="O8" s="274">
        <v>74266</v>
      </c>
      <c r="P8" s="274">
        <v>65448</v>
      </c>
      <c r="Q8" s="274">
        <v>64607</v>
      </c>
      <c r="R8" s="274">
        <v>64544</v>
      </c>
      <c r="S8" s="274">
        <v>62986</v>
      </c>
      <c r="T8" s="274">
        <v>60076</v>
      </c>
      <c r="U8" s="274">
        <v>69106</v>
      </c>
      <c r="V8" s="361">
        <v>68109</v>
      </c>
      <c r="W8" s="389">
        <f t="shared" si="2"/>
        <v>0.02815303911044498</v>
      </c>
      <c r="X8" s="76">
        <f>+C8+N8</f>
        <v>152289</v>
      </c>
      <c r="Y8" s="76">
        <f t="shared" si="14"/>
        <v>148119</v>
      </c>
      <c r="Z8" s="76">
        <f t="shared" si="3"/>
        <v>152592</v>
      </c>
      <c r="AA8" s="76">
        <f t="shared" si="4"/>
        <v>135443</v>
      </c>
      <c r="AB8" s="76">
        <f t="shared" si="5"/>
        <v>121542</v>
      </c>
      <c r="AC8" s="76">
        <f t="shared" si="6"/>
        <v>118914</v>
      </c>
      <c r="AD8" s="76">
        <f t="shared" si="7"/>
        <v>113149</v>
      </c>
      <c r="AE8" s="76">
        <f t="shared" si="8"/>
        <v>99695</v>
      </c>
      <c r="AF8" s="76">
        <f t="shared" si="9"/>
        <v>114096</v>
      </c>
      <c r="AG8" s="1351">
        <f t="shared" si="10"/>
        <v>110073</v>
      </c>
      <c r="AH8" s="170">
        <f t="shared" si="11"/>
        <v>-0.07198587961570091</v>
      </c>
      <c r="AI8" s="38">
        <v>46268</v>
      </c>
      <c r="AJ8" s="38">
        <v>49857</v>
      </c>
      <c r="AK8" s="38">
        <v>58051</v>
      </c>
      <c r="AL8" s="38">
        <v>46812</v>
      </c>
      <c r="AM8" s="38">
        <v>44547</v>
      </c>
      <c r="AN8" s="123">
        <v>45462</v>
      </c>
      <c r="AO8" s="123">
        <v>37377</v>
      </c>
      <c r="AP8" s="123">
        <v>30711</v>
      </c>
      <c r="AQ8" s="123">
        <v>39435</v>
      </c>
      <c r="AR8" s="669">
        <v>35355</v>
      </c>
      <c r="AS8" s="52">
        <f t="shared" si="12"/>
        <v>0.002934699155453186</v>
      </c>
      <c r="AT8" s="30">
        <f t="shared" si="13"/>
        <v>198557</v>
      </c>
      <c r="AU8" s="30">
        <v>197976</v>
      </c>
      <c r="AV8" s="121">
        <f t="shared" si="15"/>
        <v>210643</v>
      </c>
      <c r="AW8" s="121">
        <f t="shared" si="16"/>
        <v>182255</v>
      </c>
      <c r="AX8" s="121">
        <f t="shared" si="17"/>
        <v>166089</v>
      </c>
      <c r="AY8" s="121">
        <f t="shared" si="18"/>
        <v>164376</v>
      </c>
      <c r="AZ8" s="121">
        <v>150526</v>
      </c>
      <c r="BA8" s="121">
        <v>130406</v>
      </c>
      <c r="BB8" s="121">
        <v>153531</v>
      </c>
      <c r="BC8" s="122">
        <v>145428</v>
      </c>
      <c r="BD8" s="783">
        <v>198557</v>
      </c>
      <c r="BE8" s="534"/>
      <c r="BF8" s="534"/>
      <c r="BG8" s="534"/>
      <c r="BH8" s="534"/>
      <c r="BI8" s="534"/>
      <c r="BJ8" s="534"/>
      <c r="BK8" s="534"/>
      <c r="BL8" s="534"/>
      <c r="BM8" s="534"/>
      <c r="BN8" s="534"/>
      <c r="BO8" s="534"/>
      <c r="BP8" s="534"/>
      <c r="BQ8" s="534"/>
      <c r="BR8" s="534"/>
      <c r="BS8" s="534"/>
      <c r="BT8" s="534"/>
      <c r="BU8" s="534"/>
      <c r="BV8" s="534"/>
      <c r="BW8" s="534"/>
      <c r="BX8" s="534"/>
      <c r="BY8" s="534"/>
      <c r="BZ8" s="534"/>
      <c r="CA8" s="534"/>
      <c r="CB8" s="534"/>
      <c r="CC8" s="534"/>
      <c r="CD8" s="534"/>
      <c r="CE8" s="534"/>
      <c r="CF8" s="534"/>
      <c r="CG8" s="534"/>
      <c r="CH8" s="534"/>
      <c r="CI8" s="534"/>
    </row>
    <row r="9" spans="1:87" s="1047" customFormat="1" ht="11.25">
      <c r="A9" s="539" t="s">
        <v>19</v>
      </c>
      <c r="B9" s="359">
        <f t="shared" si="0"/>
        <v>-0.05611042104996324</v>
      </c>
      <c r="C9" s="352">
        <v>74471</v>
      </c>
      <c r="D9" s="265">
        <v>78898</v>
      </c>
      <c r="E9" s="265">
        <v>74832</v>
      </c>
      <c r="F9" s="265">
        <v>71897</v>
      </c>
      <c r="G9" s="265">
        <v>59585</v>
      </c>
      <c r="H9" s="265">
        <v>53072</v>
      </c>
      <c r="I9" s="265">
        <v>48465</v>
      </c>
      <c r="J9" s="265">
        <v>44277</v>
      </c>
      <c r="K9" s="265">
        <v>45685</v>
      </c>
      <c r="L9" s="1245">
        <v>37530</v>
      </c>
      <c r="M9" s="360">
        <f t="shared" si="1"/>
        <v>0.01603489274042802</v>
      </c>
      <c r="N9" s="329">
        <v>79902</v>
      </c>
      <c r="O9" s="274">
        <v>78641</v>
      </c>
      <c r="P9" s="274">
        <v>71859</v>
      </c>
      <c r="Q9" s="274">
        <v>68034</v>
      </c>
      <c r="R9" s="274">
        <v>70933</v>
      </c>
      <c r="S9" s="274">
        <v>58282</v>
      </c>
      <c r="T9" s="274">
        <v>63465</v>
      </c>
      <c r="U9" s="274">
        <v>68089</v>
      </c>
      <c r="V9" s="361">
        <v>59903</v>
      </c>
      <c r="W9" s="389">
        <f>SUM(X9-Y9)/Y9</f>
        <v>-0.02009661099791163</v>
      </c>
      <c r="X9" s="76">
        <f>+C9+N9</f>
        <v>154373</v>
      </c>
      <c r="Y9" s="76">
        <f t="shared" si="14"/>
        <v>157539</v>
      </c>
      <c r="Z9" s="76">
        <f aca="true" t="shared" si="19" ref="Z9:Z15">+E9+O9</f>
        <v>153473</v>
      </c>
      <c r="AA9" s="76">
        <f t="shared" si="4"/>
        <v>143756</v>
      </c>
      <c r="AB9" s="76">
        <f t="shared" si="5"/>
        <v>127619</v>
      </c>
      <c r="AC9" s="76">
        <f t="shared" si="6"/>
        <v>124005</v>
      </c>
      <c r="AD9" s="76">
        <f t="shared" si="7"/>
        <v>106747</v>
      </c>
      <c r="AE9" s="76">
        <f t="shared" si="8"/>
        <v>107742</v>
      </c>
      <c r="AF9" s="76">
        <f t="shared" si="9"/>
        <v>113774</v>
      </c>
      <c r="AG9" s="1351">
        <f t="shared" si="10"/>
        <v>97433</v>
      </c>
      <c r="AH9" s="170">
        <f t="shared" si="11"/>
        <v>-0.15150199058993846</v>
      </c>
      <c r="AI9" s="38">
        <v>46888</v>
      </c>
      <c r="AJ9" s="38">
        <v>55260</v>
      </c>
      <c r="AK9" s="38">
        <v>51979</v>
      </c>
      <c r="AL9" s="38">
        <v>46404</v>
      </c>
      <c r="AM9" s="38">
        <v>52467</v>
      </c>
      <c r="AN9" s="123">
        <v>48315</v>
      </c>
      <c r="AO9" s="123">
        <v>44042</v>
      </c>
      <c r="AP9" s="123">
        <v>33416</v>
      </c>
      <c r="AQ9" s="123">
        <v>37482</v>
      </c>
      <c r="AR9" s="669">
        <v>29394</v>
      </c>
      <c r="AS9" s="52">
        <f>SUM(AT9-AU9)/AU9</f>
        <v>-0.05422017960610717</v>
      </c>
      <c r="AT9" s="30">
        <f>+X9+AI9</f>
        <v>201261</v>
      </c>
      <c r="AU9" s="30">
        <v>212799</v>
      </c>
      <c r="AV9" s="121">
        <f t="shared" si="15"/>
        <v>205452</v>
      </c>
      <c r="AW9" s="121">
        <f t="shared" si="16"/>
        <v>190160</v>
      </c>
      <c r="AX9" s="121">
        <f t="shared" si="17"/>
        <v>180086</v>
      </c>
      <c r="AY9" s="121">
        <f t="shared" si="18"/>
        <v>172320</v>
      </c>
      <c r="AZ9" s="121">
        <v>150789</v>
      </c>
      <c r="BA9" s="121">
        <v>141158</v>
      </c>
      <c r="BB9" s="121">
        <v>151256</v>
      </c>
      <c r="BC9" s="122">
        <v>126827</v>
      </c>
      <c r="BD9" s="783">
        <v>201261</v>
      </c>
      <c r="BE9" s="534"/>
      <c r="BF9" s="534"/>
      <c r="BG9" s="534"/>
      <c r="BH9" s="534"/>
      <c r="BI9" s="534"/>
      <c r="BJ9" s="534"/>
      <c r="BK9" s="534"/>
      <c r="BL9" s="534"/>
      <c r="BM9" s="534"/>
      <c r="BN9" s="534"/>
      <c r="BO9" s="534"/>
      <c r="BP9" s="534"/>
      <c r="BQ9" s="534"/>
      <c r="BR9" s="534"/>
      <c r="BS9" s="534"/>
      <c r="BT9" s="534"/>
      <c r="BU9" s="534"/>
      <c r="BV9" s="534"/>
      <c r="BW9" s="534"/>
      <c r="BX9" s="534"/>
      <c r="BY9" s="534"/>
      <c r="BZ9" s="534"/>
      <c r="CA9" s="534"/>
      <c r="CB9" s="534"/>
      <c r="CC9" s="534"/>
      <c r="CD9" s="534"/>
      <c r="CE9" s="534"/>
      <c r="CF9" s="534"/>
      <c r="CG9" s="534"/>
      <c r="CH9" s="534"/>
      <c r="CI9" s="534"/>
    </row>
    <row r="10" spans="1:87" s="1047" customFormat="1" ht="11.25">
      <c r="A10" s="539" t="s">
        <v>20</v>
      </c>
      <c r="B10" s="359"/>
      <c r="C10" s="352"/>
      <c r="D10" s="265">
        <v>78727</v>
      </c>
      <c r="E10" s="265">
        <v>81249</v>
      </c>
      <c r="F10" s="265">
        <v>77135</v>
      </c>
      <c r="G10" s="265">
        <v>66760</v>
      </c>
      <c r="H10" s="265">
        <v>52049</v>
      </c>
      <c r="I10" s="265">
        <v>50774</v>
      </c>
      <c r="J10" s="265">
        <v>45601</v>
      </c>
      <c r="K10" s="265">
        <v>48887</v>
      </c>
      <c r="L10" s="1245">
        <v>40095</v>
      </c>
      <c r="M10" s="1242"/>
      <c r="N10" s="274"/>
      <c r="O10" s="274">
        <v>79754</v>
      </c>
      <c r="P10" s="274">
        <v>70426</v>
      </c>
      <c r="Q10" s="274">
        <v>70322</v>
      </c>
      <c r="R10" s="274">
        <v>65374</v>
      </c>
      <c r="S10" s="274">
        <v>67735</v>
      </c>
      <c r="T10" s="274">
        <v>67834</v>
      </c>
      <c r="U10" s="274">
        <v>76464</v>
      </c>
      <c r="V10" s="361">
        <v>69607</v>
      </c>
      <c r="W10" s="389"/>
      <c r="X10" s="76"/>
      <c r="Y10" s="76">
        <f aca="true" t="shared" si="20" ref="X10:Y15">+D10+O10</f>
        <v>158481</v>
      </c>
      <c r="Z10" s="76">
        <f t="shared" si="19"/>
        <v>161003</v>
      </c>
      <c r="AA10" s="76">
        <f t="shared" si="4"/>
        <v>147561</v>
      </c>
      <c r="AB10" s="76">
        <f t="shared" si="5"/>
        <v>137082</v>
      </c>
      <c r="AC10" s="76">
        <f t="shared" si="6"/>
        <v>117423</v>
      </c>
      <c r="AD10" s="76">
        <f t="shared" si="7"/>
        <v>118509</v>
      </c>
      <c r="AE10" s="76">
        <f t="shared" si="8"/>
        <v>113435</v>
      </c>
      <c r="AF10" s="76">
        <f t="shared" si="9"/>
        <v>125351</v>
      </c>
      <c r="AG10" s="1351">
        <f t="shared" si="10"/>
        <v>109702</v>
      </c>
      <c r="AH10" s="170"/>
      <c r="AI10" s="38"/>
      <c r="AJ10" s="38">
        <v>56177</v>
      </c>
      <c r="AK10" s="38">
        <v>73362</v>
      </c>
      <c r="AL10" s="38">
        <v>60538</v>
      </c>
      <c r="AM10" s="38">
        <v>56517</v>
      </c>
      <c r="AN10" s="123">
        <v>50284</v>
      </c>
      <c r="AO10" s="123">
        <v>48940</v>
      </c>
      <c r="AP10" s="123">
        <v>39522</v>
      </c>
      <c r="AQ10" s="123">
        <v>44349</v>
      </c>
      <c r="AR10" s="669">
        <v>40137</v>
      </c>
      <c r="AS10" s="52"/>
      <c r="AT10" s="30"/>
      <c r="AU10" s="30">
        <v>214658</v>
      </c>
      <c r="AV10" s="121">
        <f aca="true" t="shared" si="21" ref="AV10:AV15">+Z10+AK10</f>
        <v>234365</v>
      </c>
      <c r="AW10" s="121">
        <f t="shared" si="16"/>
        <v>208099</v>
      </c>
      <c r="AX10" s="121">
        <f t="shared" si="17"/>
        <v>193599</v>
      </c>
      <c r="AY10" s="121">
        <f t="shared" si="18"/>
        <v>167707</v>
      </c>
      <c r="AZ10" s="121">
        <v>167449</v>
      </c>
      <c r="BA10" s="121">
        <v>152957</v>
      </c>
      <c r="BB10" s="121">
        <v>169700</v>
      </c>
      <c r="BC10" s="122">
        <v>149839</v>
      </c>
      <c r="BD10" s="534"/>
      <c r="BE10" s="534"/>
      <c r="BF10" s="534"/>
      <c r="BG10" s="534"/>
      <c r="BH10" s="534"/>
      <c r="BI10" s="534"/>
      <c r="BJ10" s="534"/>
      <c r="BK10" s="534"/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534"/>
      <c r="CD10" s="534"/>
      <c r="CE10" s="534"/>
      <c r="CF10" s="534"/>
      <c r="CG10" s="534"/>
      <c r="CH10" s="534"/>
      <c r="CI10" s="534"/>
    </row>
    <row r="11" spans="1:87" s="1047" customFormat="1" ht="11.25">
      <c r="A11" s="539" t="s">
        <v>21</v>
      </c>
      <c r="B11" s="359"/>
      <c r="C11" s="352"/>
      <c r="D11" s="265">
        <v>76047</v>
      </c>
      <c r="E11" s="265">
        <v>77071</v>
      </c>
      <c r="F11" s="265">
        <v>74228</v>
      </c>
      <c r="G11" s="265">
        <v>62546</v>
      </c>
      <c r="H11" s="265">
        <v>51219</v>
      </c>
      <c r="I11" s="265">
        <v>49019</v>
      </c>
      <c r="J11" s="265">
        <v>42871</v>
      </c>
      <c r="K11" s="265">
        <v>43904</v>
      </c>
      <c r="L11" s="1245">
        <v>39802</v>
      </c>
      <c r="M11" s="1242"/>
      <c r="N11" s="274"/>
      <c r="O11" s="274">
        <v>73309</v>
      </c>
      <c r="P11" s="274">
        <v>69711</v>
      </c>
      <c r="Q11" s="274">
        <v>65037</v>
      </c>
      <c r="R11" s="274">
        <v>67283</v>
      </c>
      <c r="S11" s="274">
        <v>62617</v>
      </c>
      <c r="T11" s="274">
        <v>61146</v>
      </c>
      <c r="U11" s="274">
        <v>67398</v>
      </c>
      <c r="V11" s="361">
        <v>70346</v>
      </c>
      <c r="W11" s="389"/>
      <c r="X11" s="76"/>
      <c r="Y11" s="76">
        <f t="shared" si="20"/>
        <v>149356</v>
      </c>
      <c r="Z11" s="76">
        <f t="shared" si="19"/>
        <v>150380</v>
      </c>
      <c r="AA11" s="76">
        <f t="shared" si="4"/>
        <v>143939</v>
      </c>
      <c r="AB11" s="76">
        <f t="shared" si="5"/>
        <v>127583</v>
      </c>
      <c r="AC11" s="76">
        <f t="shared" si="6"/>
        <v>118502</v>
      </c>
      <c r="AD11" s="76">
        <f t="shared" si="7"/>
        <v>111636</v>
      </c>
      <c r="AE11" s="76">
        <f t="shared" si="8"/>
        <v>104017</v>
      </c>
      <c r="AF11" s="76">
        <f t="shared" si="9"/>
        <v>111302</v>
      </c>
      <c r="AG11" s="1351">
        <f t="shared" si="10"/>
        <v>110148</v>
      </c>
      <c r="AH11" s="170"/>
      <c r="AI11" s="38"/>
      <c r="AJ11" s="38">
        <v>55562</v>
      </c>
      <c r="AK11" s="38">
        <v>54917</v>
      </c>
      <c r="AL11" s="38">
        <v>57148</v>
      </c>
      <c r="AM11" s="38">
        <v>46082</v>
      </c>
      <c r="AN11" s="123">
        <v>41436</v>
      </c>
      <c r="AO11" s="123">
        <v>36641</v>
      </c>
      <c r="AP11" s="123">
        <v>33823</v>
      </c>
      <c r="AQ11" s="123">
        <v>33330</v>
      </c>
      <c r="AR11" s="669">
        <v>33394</v>
      </c>
      <c r="AS11" s="52"/>
      <c r="AT11" s="30"/>
      <c r="AU11" s="30">
        <v>204918</v>
      </c>
      <c r="AV11" s="121">
        <f t="shared" si="21"/>
        <v>205297</v>
      </c>
      <c r="AW11" s="121">
        <f t="shared" si="16"/>
        <v>201087</v>
      </c>
      <c r="AX11" s="121">
        <f t="shared" si="17"/>
        <v>173665</v>
      </c>
      <c r="AY11" s="121">
        <f t="shared" si="18"/>
        <v>159938</v>
      </c>
      <c r="AZ11" s="121">
        <v>148277</v>
      </c>
      <c r="BA11" s="121">
        <v>137840</v>
      </c>
      <c r="BB11" s="121">
        <v>144632</v>
      </c>
      <c r="BC11" s="122">
        <v>143542</v>
      </c>
      <c r="BD11" s="534"/>
      <c r="BE11" s="534"/>
      <c r="BF11" s="534"/>
      <c r="BG11" s="534"/>
      <c r="BH11" s="534"/>
      <c r="BI11" s="534"/>
      <c r="BJ11" s="534"/>
      <c r="BK11" s="534"/>
      <c r="BL11" s="534"/>
      <c r="BM11" s="534"/>
      <c r="BN11" s="534"/>
      <c r="BO11" s="534"/>
      <c r="BP11" s="534"/>
      <c r="BQ11" s="534"/>
      <c r="BR11" s="534"/>
      <c r="BS11" s="534"/>
      <c r="BT11" s="534"/>
      <c r="BU11" s="534"/>
      <c r="BV11" s="534"/>
      <c r="BW11" s="534"/>
      <c r="BX11" s="534"/>
      <c r="BY11" s="534"/>
      <c r="BZ11" s="534"/>
      <c r="CA11" s="534"/>
      <c r="CB11" s="534"/>
      <c r="CC11" s="534"/>
      <c r="CD11" s="534"/>
      <c r="CE11" s="534"/>
      <c r="CF11" s="534"/>
      <c r="CG11" s="534"/>
      <c r="CH11" s="534"/>
      <c r="CI11" s="534"/>
    </row>
    <row r="12" spans="1:87" s="1047" customFormat="1" ht="11.25">
      <c r="A12" s="539" t="s">
        <v>22</v>
      </c>
      <c r="B12" s="359"/>
      <c r="C12" s="352"/>
      <c r="D12" s="265">
        <v>74007</v>
      </c>
      <c r="E12" s="265">
        <v>74983</v>
      </c>
      <c r="F12" s="265">
        <v>75498</v>
      </c>
      <c r="G12" s="265">
        <v>67051</v>
      </c>
      <c r="H12" s="265">
        <v>50942</v>
      </c>
      <c r="I12" s="265">
        <v>52747</v>
      </c>
      <c r="J12" s="265">
        <v>43327</v>
      </c>
      <c r="K12" s="265">
        <v>45175</v>
      </c>
      <c r="L12" s="1245">
        <v>37851</v>
      </c>
      <c r="M12" s="1242"/>
      <c r="N12" s="274"/>
      <c r="O12" s="274">
        <v>85469</v>
      </c>
      <c r="P12" s="274">
        <v>72134</v>
      </c>
      <c r="Q12" s="274">
        <v>74147</v>
      </c>
      <c r="R12" s="274">
        <v>74549</v>
      </c>
      <c r="S12" s="274">
        <v>50808</v>
      </c>
      <c r="T12" s="274">
        <v>71441</v>
      </c>
      <c r="U12" s="274">
        <v>73516</v>
      </c>
      <c r="V12" s="361">
        <v>72792</v>
      </c>
      <c r="W12" s="389"/>
      <c r="X12" s="76"/>
      <c r="Y12" s="76">
        <f t="shared" si="20"/>
        <v>159476</v>
      </c>
      <c r="Z12" s="76">
        <f t="shared" si="19"/>
        <v>160452</v>
      </c>
      <c r="AA12" s="76">
        <f t="shared" si="4"/>
        <v>147632</v>
      </c>
      <c r="AB12" s="76">
        <f t="shared" si="5"/>
        <v>141198</v>
      </c>
      <c r="AC12" s="76">
        <f t="shared" si="6"/>
        <v>125491</v>
      </c>
      <c r="AD12" s="76">
        <f t="shared" si="7"/>
        <v>103555</v>
      </c>
      <c r="AE12" s="76">
        <f t="shared" si="8"/>
        <v>114768</v>
      </c>
      <c r="AF12" s="76">
        <f t="shared" si="9"/>
        <v>118691</v>
      </c>
      <c r="AG12" s="1351">
        <f t="shared" si="10"/>
        <v>110643</v>
      </c>
      <c r="AH12" s="170"/>
      <c r="AI12" s="38"/>
      <c r="AJ12" s="38">
        <v>55790</v>
      </c>
      <c r="AK12" s="38">
        <v>62611</v>
      </c>
      <c r="AL12" s="38">
        <v>57926</v>
      </c>
      <c r="AM12" s="38">
        <v>49607</v>
      </c>
      <c r="AN12" s="123">
        <v>37609</v>
      </c>
      <c r="AO12" s="123">
        <v>28287</v>
      </c>
      <c r="AP12" s="123">
        <v>34947</v>
      </c>
      <c r="AQ12" s="123">
        <v>40752</v>
      </c>
      <c r="AR12" s="669">
        <v>33626</v>
      </c>
      <c r="AS12" s="52"/>
      <c r="AT12" s="30"/>
      <c r="AU12" s="30">
        <v>215266</v>
      </c>
      <c r="AV12" s="121">
        <f t="shared" si="21"/>
        <v>223063</v>
      </c>
      <c r="AW12" s="121">
        <f t="shared" si="16"/>
        <v>205558</v>
      </c>
      <c r="AX12" s="121">
        <f t="shared" si="17"/>
        <v>190805</v>
      </c>
      <c r="AY12" s="121">
        <f t="shared" si="18"/>
        <v>163100</v>
      </c>
      <c r="AZ12" s="121">
        <v>131842</v>
      </c>
      <c r="BA12" s="121">
        <v>149715</v>
      </c>
      <c r="BB12" s="121">
        <v>159443</v>
      </c>
      <c r="BC12" s="122">
        <v>144269</v>
      </c>
      <c r="BD12" s="534"/>
      <c r="BE12" s="534"/>
      <c r="BF12" s="534"/>
      <c r="BG12" s="534"/>
      <c r="BH12" s="534"/>
      <c r="BI12" s="534"/>
      <c r="BJ12" s="534"/>
      <c r="BK12" s="534"/>
      <c r="BL12" s="534"/>
      <c r="BM12" s="534"/>
      <c r="BN12" s="534"/>
      <c r="BO12" s="534"/>
      <c r="BP12" s="534"/>
      <c r="BQ12" s="534"/>
      <c r="BR12" s="534"/>
      <c r="BS12" s="534"/>
      <c r="BT12" s="534"/>
      <c r="BU12" s="534"/>
      <c r="BV12" s="534"/>
      <c r="BW12" s="534"/>
      <c r="BX12" s="534"/>
      <c r="BY12" s="534"/>
      <c r="BZ12" s="534"/>
      <c r="CA12" s="534"/>
      <c r="CB12" s="534"/>
      <c r="CC12" s="534"/>
      <c r="CD12" s="534"/>
      <c r="CE12" s="534"/>
      <c r="CF12" s="534"/>
      <c r="CG12" s="534"/>
      <c r="CH12" s="534"/>
      <c r="CI12" s="534"/>
    </row>
    <row r="13" spans="1:87" s="1047" customFormat="1" ht="11.25">
      <c r="A13" s="539" t="s">
        <v>23</v>
      </c>
      <c r="B13" s="359"/>
      <c r="C13" s="265"/>
      <c r="D13" s="265">
        <v>74666</v>
      </c>
      <c r="E13" s="265">
        <v>70297</v>
      </c>
      <c r="F13" s="265">
        <v>71891</v>
      </c>
      <c r="G13" s="265">
        <v>66217</v>
      </c>
      <c r="H13" s="265">
        <v>50442</v>
      </c>
      <c r="I13" s="265">
        <v>50162</v>
      </c>
      <c r="J13" s="265">
        <v>38128</v>
      </c>
      <c r="K13" s="265">
        <v>40914</v>
      </c>
      <c r="L13" s="1245">
        <v>37845</v>
      </c>
      <c r="M13" s="1242"/>
      <c r="N13" s="274"/>
      <c r="O13" s="274">
        <v>81570</v>
      </c>
      <c r="P13" s="274">
        <v>73481</v>
      </c>
      <c r="Q13" s="274">
        <v>75931</v>
      </c>
      <c r="R13" s="274">
        <v>67732</v>
      </c>
      <c r="S13" s="274">
        <v>68672</v>
      </c>
      <c r="T13" s="274">
        <v>60099</v>
      </c>
      <c r="U13" s="274">
        <v>66091</v>
      </c>
      <c r="V13" s="361">
        <v>70937</v>
      </c>
      <c r="W13" s="389"/>
      <c r="X13" s="76"/>
      <c r="Y13" s="76">
        <f t="shared" si="20"/>
        <v>156236</v>
      </c>
      <c r="Z13" s="76">
        <f t="shared" si="19"/>
        <v>151867</v>
      </c>
      <c r="AA13" s="76">
        <f t="shared" si="4"/>
        <v>145372</v>
      </c>
      <c r="AB13" s="76">
        <f t="shared" si="5"/>
        <v>142148</v>
      </c>
      <c r="AC13" s="76">
        <f t="shared" si="6"/>
        <v>118174</v>
      </c>
      <c r="AD13" s="76">
        <f t="shared" si="7"/>
        <v>118834</v>
      </c>
      <c r="AE13" s="76">
        <f t="shared" si="8"/>
        <v>98227</v>
      </c>
      <c r="AF13" s="76">
        <f t="shared" si="9"/>
        <v>107005</v>
      </c>
      <c r="AG13" s="1351">
        <f t="shared" si="10"/>
        <v>108782</v>
      </c>
      <c r="AH13" s="170"/>
      <c r="AI13" s="38"/>
      <c r="AJ13" s="38">
        <v>44780</v>
      </c>
      <c r="AK13" s="38">
        <v>59172</v>
      </c>
      <c r="AL13" s="38">
        <v>49159</v>
      </c>
      <c r="AM13" s="38">
        <v>45695</v>
      </c>
      <c r="AN13" s="123">
        <v>37338</v>
      </c>
      <c r="AO13" s="123">
        <v>30175</v>
      </c>
      <c r="AP13" s="123">
        <v>32545</v>
      </c>
      <c r="AQ13" s="123">
        <v>38646</v>
      </c>
      <c r="AR13" s="669">
        <v>36345</v>
      </c>
      <c r="AS13" s="52"/>
      <c r="AT13" s="30"/>
      <c r="AU13" s="30">
        <v>201016</v>
      </c>
      <c r="AV13" s="121">
        <f t="shared" si="21"/>
        <v>211039</v>
      </c>
      <c r="AW13" s="121">
        <f t="shared" si="16"/>
        <v>194531</v>
      </c>
      <c r="AX13" s="121">
        <f t="shared" si="17"/>
        <v>187843</v>
      </c>
      <c r="AY13" s="121">
        <f t="shared" si="18"/>
        <v>155512</v>
      </c>
      <c r="AZ13" s="121">
        <v>149009</v>
      </c>
      <c r="BA13" s="121">
        <v>130772</v>
      </c>
      <c r="BB13" s="121">
        <v>145651</v>
      </c>
      <c r="BC13" s="122">
        <v>145127</v>
      </c>
      <c r="BD13" s="534"/>
      <c r="BE13" s="534"/>
      <c r="BF13" s="534"/>
      <c r="BG13" s="534"/>
      <c r="BH13" s="534"/>
      <c r="BI13" s="534"/>
      <c r="BJ13" s="534"/>
      <c r="BK13" s="534"/>
      <c r="BL13" s="534"/>
      <c r="BM13" s="534"/>
      <c r="BN13" s="534"/>
      <c r="BO13" s="534"/>
      <c r="BP13" s="534"/>
      <c r="BQ13" s="534"/>
      <c r="BR13" s="534"/>
      <c r="BS13" s="534"/>
      <c r="BT13" s="534"/>
      <c r="BU13" s="534"/>
      <c r="BV13" s="534"/>
      <c r="BW13" s="534"/>
      <c r="BX13" s="534"/>
      <c r="BY13" s="534"/>
      <c r="BZ13" s="534"/>
      <c r="CA13" s="534"/>
      <c r="CB13" s="534"/>
      <c r="CC13" s="534"/>
      <c r="CD13" s="534"/>
      <c r="CE13" s="534"/>
      <c r="CF13" s="534"/>
      <c r="CG13" s="534"/>
      <c r="CH13" s="534"/>
      <c r="CI13" s="534"/>
    </row>
    <row r="14" spans="1:87" s="1047" customFormat="1" ht="12" thickBot="1">
      <c r="A14" s="988" t="s">
        <v>24</v>
      </c>
      <c r="B14" s="1246"/>
      <c r="C14" s="1155"/>
      <c r="D14" s="1155">
        <v>67836</v>
      </c>
      <c r="E14" s="1155">
        <v>66884</v>
      </c>
      <c r="F14" s="1155">
        <v>72964</v>
      </c>
      <c r="G14" s="1155">
        <v>66440</v>
      </c>
      <c r="H14" s="1155">
        <v>45844</v>
      </c>
      <c r="I14" s="1155">
        <v>46222</v>
      </c>
      <c r="J14" s="1155">
        <v>39125</v>
      </c>
      <c r="K14" s="1155">
        <v>40526</v>
      </c>
      <c r="L14" s="1247">
        <v>38046</v>
      </c>
      <c r="M14" s="1243"/>
      <c r="N14" s="1020"/>
      <c r="O14" s="1020">
        <v>77338</v>
      </c>
      <c r="P14" s="1020">
        <v>72431</v>
      </c>
      <c r="Q14" s="1020">
        <v>73543</v>
      </c>
      <c r="R14" s="1020">
        <v>68731</v>
      </c>
      <c r="S14" s="1020">
        <v>60570</v>
      </c>
      <c r="T14" s="1020">
        <v>57513</v>
      </c>
      <c r="U14" s="1020">
        <v>64102</v>
      </c>
      <c r="V14" s="1037">
        <v>70184</v>
      </c>
      <c r="W14" s="1198"/>
      <c r="X14" s="968"/>
      <c r="Y14" s="968">
        <f t="shared" si="20"/>
        <v>145174</v>
      </c>
      <c r="Z14" s="968">
        <f t="shared" si="19"/>
        <v>144222</v>
      </c>
      <c r="AA14" s="968">
        <f t="shared" si="4"/>
        <v>145395</v>
      </c>
      <c r="AB14" s="968">
        <f t="shared" si="5"/>
        <v>139983</v>
      </c>
      <c r="AC14" s="968">
        <f t="shared" si="6"/>
        <v>114575</v>
      </c>
      <c r="AD14" s="968">
        <f t="shared" si="7"/>
        <v>106792</v>
      </c>
      <c r="AE14" s="968">
        <f t="shared" si="8"/>
        <v>96638</v>
      </c>
      <c r="AF14" s="968">
        <f t="shared" si="9"/>
        <v>104628</v>
      </c>
      <c r="AG14" s="1352">
        <f t="shared" si="10"/>
        <v>108230</v>
      </c>
      <c r="AH14" s="1042"/>
      <c r="AI14" s="454"/>
      <c r="AJ14" s="454">
        <v>48158</v>
      </c>
      <c r="AK14" s="454">
        <v>42659</v>
      </c>
      <c r="AL14" s="454">
        <v>46966</v>
      </c>
      <c r="AM14" s="454">
        <v>54867</v>
      </c>
      <c r="AN14" s="675">
        <v>43548</v>
      </c>
      <c r="AO14" s="675">
        <v>33098</v>
      </c>
      <c r="AP14" s="675">
        <v>31015</v>
      </c>
      <c r="AQ14" s="675">
        <v>32999</v>
      </c>
      <c r="AR14" s="1248">
        <v>36455</v>
      </c>
      <c r="AS14" s="960"/>
      <c r="AT14" s="940"/>
      <c r="AU14" s="940">
        <v>193332</v>
      </c>
      <c r="AV14" s="124">
        <f t="shared" si="21"/>
        <v>186881</v>
      </c>
      <c r="AW14" s="124">
        <f t="shared" si="16"/>
        <v>192361</v>
      </c>
      <c r="AX14" s="124">
        <f t="shared" si="17"/>
        <v>194850</v>
      </c>
      <c r="AY14" s="124">
        <f t="shared" si="18"/>
        <v>158123</v>
      </c>
      <c r="AZ14" s="124">
        <v>139890</v>
      </c>
      <c r="BA14" s="124">
        <v>127653</v>
      </c>
      <c r="BB14" s="124">
        <v>137627</v>
      </c>
      <c r="BC14" s="125">
        <v>144685</v>
      </c>
      <c r="BD14" s="534"/>
      <c r="BE14" s="534"/>
      <c r="BF14" s="534"/>
      <c r="BG14" s="534"/>
      <c r="BH14" s="534"/>
      <c r="BI14" s="534"/>
      <c r="BJ14" s="534"/>
      <c r="BK14" s="534"/>
      <c r="BL14" s="534"/>
      <c r="BM14" s="534"/>
      <c r="BN14" s="534"/>
      <c r="BO14" s="534"/>
      <c r="BP14" s="534"/>
      <c r="BQ14" s="534"/>
      <c r="BR14" s="534"/>
      <c r="BS14" s="534"/>
      <c r="BT14" s="534"/>
      <c r="BU14" s="534"/>
      <c r="BV14" s="534"/>
      <c r="BW14" s="534"/>
      <c r="BX14" s="534"/>
      <c r="BY14" s="534"/>
      <c r="BZ14" s="534"/>
      <c r="CA14" s="534"/>
      <c r="CB14" s="534"/>
      <c r="CC14" s="534"/>
      <c r="CD14" s="534"/>
      <c r="CE14" s="534"/>
      <c r="CF14" s="534"/>
      <c r="CG14" s="534"/>
      <c r="CH14" s="534"/>
      <c r="CI14" s="534"/>
    </row>
    <row r="15" spans="1:87" s="1047" customFormat="1" ht="11.25">
      <c r="A15" s="1325" t="s">
        <v>25</v>
      </c>
      <c r="B15" s="464">
        <f>SUM(C15-D15)/D15</f>
        <v>-0.0529871604858717</v>
      </c>
      <c r="C15" s="465">
        <f>SUM(C3:C9)</f>
        <v>470279</v>
      </c>
      <c r="D15" s="465">
        <f aca="true" t="shared" si="22" ref="D15:L15">SUM(D3:D9)</f>
        <v>496592</v>
      </c>
      <c r="E15" s="465">
        <f t="shared" si="22"/>
        <v>506911</v>
      </c>
      <c r="F15" s="465">
        <f t="shared" si="22"/>
        <v>463769</v>
      </c>
      <c r="G15" s="465">
        <f t="shared" si="22"/>
        <v>361466</v>
      </c>
      <c r="H15" s="465">
        <f t="shared" si="22"/>
        <v>348115</v>
      </c>
      <c r="I15" s="465">
        <f t="shared" si="22"/>
        <v>296110</v>
      </c>
      <c r="J15" s="465">
        <f t="shared" si="22"/>
        <v>277452</v>
      </c>
      <c r="K15" s="465">
        <f t="shared" si="22"/>
        <v>284452</v>
      </c>
      <c r="L15" s="465">
        <f t="shared" si="22"/>
        <v>275587</v>
      </c>
      <c r="M15" s="464">
        <f>SUM(N15-O15)/O15</f>
        <v>0.08787044288926506</v>
      </c>
      <c r="N15" s="465">
        <f>SUM(N3:N9)</f>
        <v>559767</v>
      </c>
      <c r="O15" s="465">
        <f aca="true" t="shared" si="23" ref="O15:V15">SUM(O3:O9)</f>
        <v>514553</v>
      </c>
      <c r="P15" s="465">
        <f t="shared" si="23"/>
        <v>488651</v>
      </c>
      <c r="Q15" s="465">
        <f t="shared" si="23"/>
        <v>454497</v>
      </c>
      <c r="R15" s="465">
        <f t="shared" si="23"/>
        <v>456870</v>
      </c>
      <c r="S15" s="465">
        <f t="shared" si="23"/>
        <v>418425</v>
      </c>
      <c r="T15" s="465">
        <f t="shared" si="23"/>
        <v>440863</v>
      </c>
      <c r="U15" s="465">
        <f t="shared" si="23"/>
        <v>470950</v>
      </c>
      <c r="V15" s="465">
        <f t="shared" si="23"/>
        <v>436007</v>
      </c>
      <c r="W15" s="464">
        <f>SUM(X15-Y15)/Y15</f>
        <v>0.018692670190724375</v>
      </c>
      <c r="X15" s="469">
        <f t="shared" si="20"/>
        <v>1030046</v>
      </c>
      <c r="Y15" s="469">
        <f t="shared" si="20"/>
        <v>1011145</v>
      </c>
      <c r="Z15" s="469">
        <f t="shared" si="19"/>
        <v>1021464</v>
      </c>
      <c r="AA15" s="469">
        <f t="shared" si="4"/>
        <v>952420</v>
      </c>
      <c r="AB15" s="469">
        <f t="shared" si="5"/>
        <v>815963</v>
      </c>
      <c r="AC15" s="469">
        <f t="shared" si="6"/>
        <v>804985</v>
      </c>
      <c r="AD15" s="469">
        <f t="shared" si="7"/>
        <v>714535</v>
      </c>
      <c r="AE15" s="469">
        <f t="shared" si="8"/>
        <v>718315</v>
      </c>
      <c r="AF15" s="469">
        <f t="shared" si="9"/>
        <v>755402</v>
      </c>
      <c r="AG15" s="1349">
        <f t="shared" si="10"/>
        <v>711594</v>
      </c>
      <c r="AH15" s="464">
        <f>SUM(AI15-AJ15)/AJ15</f>
        <v>-0.1628047441247529</v>
      </c>
      <c r="AI15" s="465">
        <f>SUM(AI3:AI9)</f>
        <v>289693</v>
      </c>
      <c r="AJ15" s="465">
        <f aca="true" t="shared" si="24" ref="AJ15:AR15">SUM(AJ3:AJ9)</f>
        <v>346028</v>
      </c>
      <c r="AK15" s="465">
        <f t="shared" si="24"/>
        <v>380581</v>
      </c>
      <c r="AL15" s="465">
        <f t="shared" si="24"/>
        <v>318469</v>
      </c>
      <c r="AM15" s="465">
        <f t="shared" si="24"/>
        <v>286423</v>
      </c>
      <c r="AN15" s="465">
        <f t="shared" si="24"/>
        <v>313771</v>
      </c>
      <c r="AO15" s="465">
        <f t="shared" si="24"/>
        <v>246616</v>
      </c>
      <c r="AP15" s="465">
        <f t="shared" si="24"/>
        <v>226325</v>
      </c>
      <c r="AQ15" s="465">
        <f t="shared" si="24"/>
        <v>264467</v>
      </c>
      <c r="AR15" s="465">
        <f t="shared" si="24"/>
        <v>224700</v>
      </c>
      <c r="AS15" s="467">
        <f>SUM(AT15-AU15)/AU15</f>
        <v>-0.02758233475024923</v>
      </c>
      <c r="AT15" s="332">
        <f>+X15+AI15</f>
        <v>1319739</v>
      </c>
      <c r="AU15" s="332">
        <f>+Y15+AJ15</f>
        <v>1357173</v>
      </c>
      <c r="AV15" s="332">
        <f t="shared" si="21"/>
        <v>1402045</v>
      </c>
      <c r="AW15" s="332">
        <f t="shared" si="16"/>
        <v>1270889</v>
      </c>
      <c r="AX15" s="332">
        <f t="shared" si="17"/>
        <v>1102386</v>
      </c>
      <c r="AY15" s="332">
        <f t="shared" si="18"/>
        <v>1118756</v>
      </c>
      <c r="AZ15" s="332">
        <f>+AD15+AO15</f>
        <v>961151</v>
      </c>
      <c r="BA15" s="332">
        <f>+AE15+AP15</f>
        <v>944640</v>
      </c>
      <c r="BB15" s="332">
        <f>+AF15+AQ15</f>
        <v>1019869</v>
      </c>
      <c r="BC15" s="589">
        <f>+AG15+AR15</f>
        <v>936294</v>
      </c>
      <c r="BD15" s="534"/>
      <c r="BE15" s="534"/>
      <c r="BF15" s="534"/>
      <c r="BG15" s="534"/>
      <c r="BH15" s="534"/>
      <c r="BI15" s="534"/>
      <c r="BJ15" s="534"/>
      <c r="BK15" s="534"/>
      <c r="BL15" s="534"/>
      <c r="BM15" s="534"/>
      <c r="BN15" s="534"/>
      <c r="BO15" s="534"/>
      <c r="BP15" s="534"/>
      <c r="BQ15" s="534"/>
      <c r="BR15" s="534"/>
      <c r="BS15" s="534"/>
      <c r="BT15" s="534"/>
      <c r="BU15" s="534"/>
      <c r="BV15" s="534"/>
      <c r="BW15" s="534"/>
      <c r="BX15" s="534"/>
      <c r="BY15" s="534"/>
      <c r="BZ15" s="534"/>
      <c r="CA15" s="534"/>
      <c r="CB15" s="534"/>
      <c r="CC15" s="534"/>
      <c r="CD15" s="534"/>
      <c r="CE15" s="534"/>
      <c r="CF15" s="534"/>
      <c r="CG15" s="534"/>
      <c r="CH15" s="534"/>
      <c r="CI15" s="534"/>
    </row>
    <row r="16" spans="1:87" s="1047" customFormat="1" ht="12" thickBot="1">
      <c r="A16" s="1326" t="s">
        <v>28</v>
      </c>
      <c r="B16" s="294">
        <f>SUM(C16-D16)/D16</f>
        <v>-0.05519488917052479</v>
      </c>
      <c r="C16" s="295">
        <f>AVERAGE(C3:C6)</f>
        <v>63925.75</v>
      </c>
      <c r="D16" s="295">
        <f>AVERAGE(D3:D6)</f>
        <v>67660.25</v>
      </c>
      <c r="E16" s="295">
        <f aca="true" t="shared" si="25" ref="E16:L16">AVERAGE(E3:E14)</f>
        <v>73116.25</v>
      </c>
      <c r="F16" s="295">
        <f t="shared" si="25"/>
        <v>69623.75</v>
      </c>
      <c r="G16" s="295">
        <f t="shared" si="25"/>
        <v>57540</v>
      </c>
      <c r="H16" s="295">
        <f t="shared" si="25"/>
        <v>49884.25</v>
      </c>
      <c r="I16" s="295">
        <f t="shared" si="25"/>
        <v>45419.5</v>
      </c>
      <c r="J16" s="295">
        <f t="shared" si="25"/>
        <v>40542</v>
      </c>
      <c r="K16" s="295">
        <f t="shared" si="25"/>
        <v>41988.166666666664</v>
      </c>
      <c r="L16" s="296">
        <f t="shared" si="25"/>
        <v>39102.166666666664</v>
      </c>
      <c r="M16" s="294">
        <f>SUM(N16-O16)/O16</f>
        <v>0.1212616675186085</v>
      </c>
      <c r="N16" s="295">
        <f>AVERAGE(N3:N6)</f>
        <v>80064.25</v>
      </c>
      <c r="O16" s="295">
        <f>AVERAGE(O3:O6)</f>
        <v>71405.5</v>
      </c>
      <c r="P16" s="295">
        <f aca="true" t="shared" si="26" ref="P16:V16">AVERAGE(P3:P14)</f>
        <v>70569.5</v>
      </c>
      <c r="Q16" s="295">
        <f t="shared" si="26"/>
        <v>67789.75</v>
      </c>
      <c r="R16" s="295">
        <f t="shared" si="26"/>
        <v>66711.58333333333</v>
      </c>
      <c r="S16" s="295">
        <f t="shared" si="26"/>
        <v>60735.583333333336</v>
      </c>
      <c r="T16" s="295">
        <f t="shared" si="26"/>
        <v>63241.333333333336</v>
      </c>
      <c r="U16" s="295">
        <f t="shared" si="26"/>
        <v>68210.08333333333</v>
      </c>
      <c r="V16" s="1036">
        <f t="shared" si="26"/>
        <v>65822.75</v>
      </c>
      <c r="W16" s="294">
        <f>SUM(X16-Y16)/Y16</f>
        <v>0.03540950953056378</v>
      </c>
      <c r="X16" s="295">
        <f>AVERAGE(X3:X6)</f>
        <v>143990</v>
      </c>
      <c r="Y16" s="295">
        <f>AVERAGE(Y3:Y6)</f>
        <v>139065.75</v>
      </c>
      <c r="Z16" s="295">
        <f aca="true" t="shared" si="27" ref="Z16:AG16">AVERAGE(Z3:Z14)</f>
        <v>149115.66666666666</v>
      </c>
      <c r="AA16" s="295">
        <f t="shared" si="27"/>
        <v>140193.25</v>
      </c>
      <c r="AB16" s="295">
        <f t="shared" si="27"/>
        <v>125329.75</v>
      </c>
      <c r="AC16" s="295">
        <f t="shared" si="27"/>
        <v>116595.83333333333</v>
      </c>
      <c r="AD16" s="295">
        <f t="shared" si="27"/>
        <v>106155.08333333333</v>
      </c>
      <c r="AE16" s="295">
        <f t="shared" si="27"/>
        <v>103783.33333333333</v>
      </c>
      <c r="AF16" s="295">
        <f t="shared" si="27"/>
        <v>110198.25</v>
      </c>
      <c r="AG16" s="1036">
        <f t="shared" si="27"/>
        <v>104924.91666666667</v>
      </c>
      <c r="AH16" s="294">
        <f>SUM(AI16-AJ16)/AJ16</f>
        <v>-0.20777088022160117</v>
      </c>
      <c r="AI16" s="295">
        <f>AVERAGE(AI3:AI6)</f>
        <v>40040.25</v>
      </c>
      <c r="AJ16" s="295">
        <f>AVERAGE(AJ3:AJ14)</f>
        <v>50541.25</v>
      </c>
      <c r="AK16" s="295">
        <f aca="true" t="shared" si="28" ref="AK16:AR16">AVERAGE(AK3:AK14)</f>
        <v>56108.5</v>
      </c>
      <c r="AL16" s="295">
        <f t="shared" si="28"/>
        <v>49183.833333333336</v>
      </c>
      <c r="AM16" s="295">
        <f t="shared" si="28"/>
        <v>44932.583333333336</v>
      </c>
      <c r="AN16" s="295">
        <f t="shared" si="28"/>
        <v>43665.5</v>
      </c>
      <c r="AO16" s="295">
        <f t="shared" si="28"/>
        <v>35313.083333333336</v>
      </c>
      <c r="AP16" s="295">
        <f t="shared" si="28"/>
        <v>33181.416666666664</v>
      </c>
      <c r="AQ16" s="295">
        <f t="shared" si="28"/>
        <v>37878.583333333336</v>
      </c>
      <c r="AR16" s="296">
        <f t="shared" si="28"/>
        <v>33721.416666666664</v>
      </c>
      <c r="AS16" s="294">
        <f>SUM(AT16-AU16)/AU16</f>
        <v>-0.010161655985520615</v>
      </c>
      <c r="AT16" s="295">
        <f>AVERAGE(AT3:AT6)</f>
        <v>184030.25</v>
      </c>
      <c r="AU16" s="295">
        <f>AVERAGE(AU3:AU6)</f>
        <v>185919.5</v>
      </c>
      <c r="AV16" s="295">
        <f aca="true" t="shared" si="29" ref="AV16:BC16">AVERAGE(AV3:AV14)</f>
        <v>205224.16666666666</v>
      </c>
      <c r="AW16" s="295">
        <f t="shared" si="29"/>
        <v>189377.08333333334</v>
      </c>
      <c r="AX16" s="295">
        <f t="shared" si="29"/>
        <v>170262.33333333334</v>
      </c>
      <c r="AY16" s="295">
        <f t="shared" si="29"/>
        <v>160261.33333333334</v>
      </c>
      <c r="AZ16" s="295">
        <f t="shared" si="29"/>
        <v>141468.16666666666</v>
      </c>
      <c r="BA16" s="295">
        <f t="shared" si="29"/>
        <v>136964.75</v>
      </c>
      <c r="BB16" s="295">
        <f t="shared" si="29"/>
        <v>148076.83333333334</v>
      </c>
      <c r="BC16" s="296">
        <f t="shared" si="29"/>
        <v>138646.33333333334</v>
      </c>
      <c r="BD16" s="534"/>
      <c r="BE16" s="534"/>
      <c r="BF16" s="534"/>
      <c r="BG16" s="534"/>
      <c r="BH16" s="534"/>
      <c r="BI16" s="534"/>
      <c r="BJ16" s="534"/>
      <c r="BK16" s="534"/>
      <c r="BL16" s="534"/>
      <c r="BM16" s="534"/>
      <c r="BN16" s="534"/>
      <c r="BO16" s="534"/>
      <c r="BP16" s="534"/>
      <c r="BQ16" s="534"/>
      <c r="BR16" s="534"/>
      <c r="BS16" s="534"/>
      <c r="BT16" s="534"/>
      <c r="BU16" s="534"/>
      <c r="BV16" s="534"/>
      <c r="BW16" s="534"/>
      <c r="BX16" s="534"/>
      <c r="BY16" s="534"/>
      <c r="BZ16" s="534"/>
      <c r="CA16" s="534"/>
      <c r="CB16" s="534"/>
      <c r="CC16" s="534"/>
      <c r="CD16" s="534"/>
      <c r="CE16" s="534"/>
      <c r="CF16" s="534"/>
      <c r="CG16" s="534"/>
      <c r="CH16" s="534"/>
      <c r="CI16" s="534"/>
    </row>
  </sheetData>
  <mergeCells count="6">
    <mergeCell ref="AH1:AR1"/>
    <mergeCell ref="AS1:BC1"/>
    <mergeCell ref="A1:A2"/>
    <mergeCell ref="B1:L1"/>
    <mergeCell ref="M1:V1"/>
    <mergeCell ref="W1:AG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pane xSplit="1" ySplit="17" topLeftCell="N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7" sqref="I7"/>
    </sheetView>
  </sheetViews>
  <sheetFormatPr defaultColWidth="9.140625" defaultRowHeight="12.75"/>
  <cols>
    <col min="1" max="1" width="18.8515625" style="136" customWidth="1"/>
    <col min="2" max="2" width="7.00390625" style="136" bestFit="1" customWidth="1"/>
    <col min="3" max="7" width="6.8515625" style="273" customWidth="1"/>
    <col min="8" max="8" width="7.00390625" style="136" customWidth="1"/>
    <col min="9" max="13" width="6.8515625" style="136" customWidth="1"/>
    <col min="14" max="14" width="7.00390625" style="136" customWidth="1"/>
    <col min="15" max="19" width="6.00390625" style="136" customWidth="1"/>
    <col min="20" max="20" width="7.00390625" style="136" customWidth="1"/>
    <col min="21" max="22" width="6.57421875" style="136" customWidth="1"/>
    <col min="23" max="25" width="6.8515625" style="136" customWidth="1"/>
    <col min="26" max="26" width="7.00390625" style="136" customWidth="1"/>
    <col min="27" max="31" width="7.7109375" style="136" customWidth="1"/>
    <col min="32" max="32" width="7.00390625" style="136" bestFit="1" customWidth="1"/>
    <col min="33" max="36" width="9.00390625" style="273" customWidth="1"/>
    <col min="37" max="39" width="9.00390625" style="136" customWidth="1"/>
    <col min="40" max="40" width="7.7109375" style="136" customWidth="1"/>
    <col min="41" max="41" width="9.00390625" style="136" bestFit="1" customWidth="1"/>
    <col min="42" max="16384" width="9.140625" style="136" customWidth="1"/>
  </cols>
  <sheetData>
    <row r="1" spans="1:31" s="632" customFormat="1" ht="36" customHeight="1" thickBot="1" thickTop="1">
      <c r="A1" s="2063" t="s">
        <v>199</v>
      </c>
      <c r="B1" s="1319"/>
      <c r="C1" s="1821"/>
      <c r="D1" s="1821"/>
      <c r="E1" s="1821"/>
      <c r="F1" s="1821"/>
      <c r="G1" s="1821"/>
      <c r="H1" s="1319"/>
      <c r="I1" s="1319"/>
      <c r="J1" s="1319"/>
      <c r="K1" s="1319"/>
      <c r="L1" s="1319"/>
      <c r="M1" s="1319"/>
      <c r="N1" s="1319"/>
      <c r="O1" s="1319"/>
      <c r="P1" s="1319"/>
      <c r="Q1" s="1319"/>
      <c r="R1" s="1319"/>
      <c r="S1" s="1319"/>
      <c r="T1" s="1320"/>
      <c r="U1" s="1320"/>
      <c r="V1" s="1320"/>
      <c r="W1" s="1320"/>
      <c r="X1" s="1320"/>
      <c r="Y1" s="1320"/>
      <c r="Z1" s="1320"/>
      <c r="AA1" s="1321"/>
      <c r="AB1" s="1321"/>
      <c r="AC1" s="1321"/>
      <c r="AD1" s="1321"/>
      <c r="AE1" s="1320"/>
    </row>
    <row r="2" spans="1:31" s="632" customFormat="1" ht="12" thickBot="1">
      <c r="A2" s="2064"/>
      <c r="B2" s="1927" t="s">
        <v>63</v>
      </c>
      <c r="C2" s="1928"/>
      <c r="D2" s="1928"/>
      <c r="E2" s="1928"/>
      <c r="F2" s="1928"/>
      <c r="G2" s="1928"/>
      <c r="H2" s="2066" t="s">
        <v>202</v>
      </c>
      <c r="I2" s="2067"/>
      <c r="J2" s="2067"/>
      <c r="K2" s="2067"/>
      <c r="L2" s="2067"/>
      <c r="M2" s="2067"/>
      <c r="N2" s="2068" t="s">
        <v>203</v>
      </c>
      <c r="O2" s="2069"/>
      <c r="P2" s="2069"/>
      <c r="Q2" s="2069"/>
      <c r="R2" s="2069"/>
      <c r="S2" s="2069"/>
      <c r="T2" s="2058" t="s">
        <v>51</v>
      </c>
      <c r="U2" s="2059"/>
      <c r="V2" s="2059"/>
      <c r="W2" s="2059"/>
      <c r="X2" s="2059"/>
      <c r="Y2" s="2059"/>
      <c r="Z2" s="2060" t="s">
        <v>64</v>
      </c>
      <c r="AA2" s="2061"/>
      <c r="AB2" s="2061"/>
      <c r="AC2" s="2062"/>
      <c r="AD2" s="2062"/>
      <c r="AE2" s="2062"/>
    </row>
    <row r="3" spans="1:31" s="957" customFormat="1" ht="12" thickBot="1">
      <c r="A3" s="2065"/>
      <c r="B3" s="623" t="s">
        <v>44</v>
      </c>
      <c r="C3" s="624">
        <v>2008</v>
      </c>
      <c r="D3" s="624">
        <v>2007</v>
      </c>
      <c r="E3" s="624">
        <v>2006</v>
      </c>
      <c r="F3" s="624">
        <v>2005</v>
      </c>
      <c r="G3" s="624">
        <v>2004</v>
      </c>
      <c r="H3" s="635" t="s">
        <v>44</v>
      </c>
      <c r="I3" s="624">
        <v>2008</v>
      </c>
      <c r="J3" s="624">
        <v>2007</v>
      </c>
      <c r="K3" s="624">
        <v>2006</v>
      </c>
      <c r="L3" s="624">
        <v>2005</v>
      </c>
      <c r="M3" s="624">
        <v>2004</v>
      </c>
      <c r="N3" s="635" t="s">
        <v>44</v>
      </c>
      <c r="O3" s="634">
        <v>2008</v>
      </c>
      <c r="P3" s="634">
        <v>2007</v>
      </c>
      <c r="Q3" s="634">
        <v>2006</v>
      </c>
      <c r="R3" s="634">
        <v>2005</v>
      </c>
      <c r="S3" s="634">
        <v>2004</v>
      </c>
      <c r="T3" s="626" t="s">
        <v>44</v>
      </c>
      <c r="U3" s="627">
        <v>2008</v>
      </c>
      <c r="V3" s="627">
        <v>2007</v>
      </c>
      <c r="W3" s="627">
        <v>2006</v>
      </c>
      <c r="X3" s="627">
        <v>2005</v>
      </c>
      <c r="Y3" s="627">
        <v>2004</v>
      </c>
      <c r="Z3" s="635" t="s">
        <v>44</v>
      </c>
      <c r="AA3" s="634">
        <v>2008</v>
      </c>
      <c r="AB3" s="634">
        <v>2007</v>
      </c>
      <c r="AC3" s="634">
        <v>2006</v>
      </c>
      <c r="AD3" s="634">
        <v>2005</v>
      </c>
      <c r="AE3" s="634">
        <v>2004</v>
      </c>
    </row>
    <row r="4" spans="1:31" s="632" customFormat="1" ht="11.25">
      <c r="A4" s="730" t="s">
        <v>13</v>
      </c>
      <c r="B4" s="175">
        <f aca="true" t="shared" si="0" ref="B4:B10">SUM(C4-D4)/D4</f>
        <v>-0.004971857410881801</v>
      </c>
      <c r="C4" s="1370">
        <v>10607</v>
      </c>
      <c r="D4" s="237">
        <v>10660</v>
      </c>
      <c r="E4" s="1370">
        <v>10143</v>
      </c>
      <c r="F4" s="1370">
        <v>9021</v>
      </c>
      <c r="G4" s="1371">
        <v>7861</v>
      </c>
      <c r="H4" s="1375">
        <f aca="true" t="shared" si="1" ref="H4:H10">SUM(I4-J4)/J4</f>
        <v>-0.004036133000192197</v>
      </c>
      <c r="I4" s="1376">
        <v>10364</v>
      </c>
      <c r="J4" s="1289">
        <v>10406</v>
      </c>
      <c r="K4" s="1376">
        <v>9299</v>
      </c>
      <c r="L4" s="1376">
        <v>8923</v>
      </c>
      <c r="M4" s="1377">
        <v>9272</v>
      </c>
      <c r="N4" s="1363">
        <f aca="true" t="shared" si="2" ref="N4:N10">SUM(O4-P4)/P4</f>
        <v>-0.056</v>
      </c>
      <c r="O4" s="1388">
        <v>590</v>
      </c>
      <c r="P4" s="1389">
        <v>625</v>
      </c>
      <c r="Q4" s="1388">
        <v>319</v>
      </c>
      <c r="R4" s="1388">
        <v>584</v>
      </c>
      <c r="S4" s="1388">
        <v>448</v>
      </c>
      <c r="T4" s="209">
        <f aca="true" t="shared" si="3" ref="T4:T9">SUM(U4-V4)/V4</f>
        <v>-0.00599326909778249</v>
      </c>
      <c r="U4" s="753">
        <f aca="true" t="shared" si="4" ref="U4:U9">+C4+I4+O4</f>
        <v>21561</v>
      </c>
      <c r="V4" s="753">
        <f aca="true" t="shared" si="5" ref="V4:Y15">+D4+J4+P4</f>
        <v>21691</v>
      </c>
      <c r="W4" s="753">
        <f t="shared" si="5"/>
        <v>19761</v>
      </c>
      <c r="X4" s="753">
        <f t="shared" si="5"/>
        <v>18528</v>
      </c>
      <c r="Y4" s="946">
        <f t="shared" si="5"/>
        <v>17581</v>
      </c>
      <c r="Z4" s="517">
        <f aca="true" t="shared" si="6" ref="Z4:Z10">SUM(AA4-AB4)/AB4</f>
        <v>-0.063584310866162</v>
      </c>
      <c r="AA4" s="732">
        <v>87332</v>
      </c>
      <c r="AB4" s="732">
        <v>93262</v>
      </c>
      <c r="AC4" s="732">
        <v>85268</v>
      </c>
      <c r="AD4" s="732">
        <v>81476</v>
      </c>
      <c r="AE4" s="1396">
        <v>83710</v>
      </c>
    </row>
    <row r="5" spans="1:31" s="632" customFormat="1" ht="11.25">
      <c r="A5" s="733" t="s">
        <v>14</v>
      </c>
      <c r="B5" s="120">
        <f t="shared" si="0"/>
        <v>-0.12124384881164275</v>
      </c>
      <c r="C5" s="1368">
        <v>8393</v>
      </c>
      <c r="D5" s="30">
        <v>9551</v>
      </c>
      <c r="E5" s="1368">
        <v>8954</v>
      </c>
      <c r="F5" s="1368">
        <v>7622</v>
      </c>
      <c r="G5" s="1372">
        <v>8270</v>
      </c>
      <c r="H5" s="1378">
        <f t="shared" si="1"/>
        <v>-0.14902231878333005</v>
      </c>
      <c r="I5" s="1379">
        <v>8617</v>
      </c>
      <c r="J5" s="1290">
        <v>10126</v>
      </c>
      <c r="K5" s="1379">
        <v>9323</v>
      </c>
      <c r="L5" s="1379">
        <v>6997</v>
      </c>
      <c r="M5" s="1380">
        <v>8429</v>
      </c>
      <c r="N5" s="526">
        <f t="shared" si="2"/>
        <v>0.59375</v>
      </c>
      <c r="O5" s="1390">
        <v>816</v>
      </c>
      <c r="P5" s="1391">
        <v>512</v>
      </c>
      <c r="Q5" s="1390">
        <v>271</v>
      </c>
      <c r="R5" s="1390">
        <v>431</v>
      </c>
      <c r="S5" s="1390">
        <v>552</v>
      </c>
      <c r="T5" s="218">
        <f t="shared" si="3"/>
        <v>-0.1170439348159889</v>
      </c>
      <c r="U5" s="737">
        <f t="shared" si="4"/>
        <v>17826</v>
      </c>
      <c r="V5" s="737">
        <f t="shared" si="5"/>
        <v>20189</v>
      </c>
      <c r="W5" s="737">
        <f t="shared" si="5"/>
        <v>18548</v>
      </c>
      <c r="X5" s="737">
        <f t="shared" si="5"/>
        <v>15050</v>
      </c>
      <c r="Y5" s="828">
        <f t="shared" si="5"/>
        <v>17251</v>
      </c>
      <c r="Z5" s="380">
        <f t="shared" si="6"/>
        <v>0.0699002670445256</v>
      </c>
      <c r="AA5" s="739">
        <v>98158</v>
      </c>
      <c r="AB5" s="739">
        <v>91745</v>
      </c>
      <c r="AC5" s="739">
        <v>87437</v>
      </c>
      <c r="AD5" s="739">
        <v>66523</v>
      </c>
      <c r="AE5" s="1397">
        <v>79238</v>
      </c>
    </row>
    <row r="6" spans="1:31" s="632" customFormat="1" ht="11.25">
      <c r="A6" s="733" t="s">
        <v>15</v>
      </c>
      <c r="B6" s="120">
        <f t="shared" si="0"/>
        <v>-0.060163033847244377</v>
      </c>
      <c r="C6" s="1401">
        <v>10607</v>
      </c>
      <c r="D6" s="30">
        <v>11286</v>
      </c>
      <c r="E6" s="1368">
        <v>10772</v>
      </c>
      <c r="F6" s="1368">
        <v>12707</v>
      </c>
      <c r="G6" s="1372">
        <v>10064</v>
      </c>
      <c r="H6" s="1378">
        <f t="shared" si="1"/>
        <v>-0.11046262123422883</v>
      </c>
      <c r="I6" s="736">
        <v>10364</v>
      </c>
      <c r="J6" s="1290">
        <v>11651</v>
      </c>
      <c r="K6" s="1379">
        <v>11382</v>
      </c>
      <c r="L6" s="1379">
        <v>13926</v>
      </c>
      <c r="M6" s="1380">
        <v>9271</v>
      </c>
      <c r="N6" s="526">
        <f t="shared" si="2"/>
        <v>-0.18620689655172415</v>
      </c>
      <c r="O6" s="527">
        <v>590</v>
      </c>
      <c r="P6" s="1391">
        <v>725</v>
      </c>
      <c r="Q6" s="1390">
        <v>304</v>
      </c>
      <c r="R6" s="1390">
        <v>881</v>
      </c>
      <c r="S6" s="1390">
        <v>653</v>
      </c>
      <c r="T6" s="218">
        <f t="shared" si="3"/>
        <v>-0.08879215619981405</v>
      </c>
      <c r="U6" s="737">
        <f t="shared" si="4"/>
        <v>21561</v>
      </c>
      <c r="V6" s="737">
        <f t="shared" si="5"/>
        <v>23662</v>
      </c>
      <c r="W6" s="737">
        <f t="shared" si="5"/>
        <v>22458</v>
      </c>
      <c r="X6" s="737">
        <f t="shared" si="5"/>
        <v>27514</v>
      </c>
      <c r="Y6" s="828">
        <f t="shared" si="5"/>
        <v>19988</v>
      </c>
      <c r="Z6" s="380">
        <f t="shared" si="6"/>
        <v>-0.1459278787308163</v>
      </c>
      <c r="AA6" s="246">
        <v>90711</v>
      </c>
      <c r="AB6" s="739">
        <v>106210</v>
      </c>
      <c r="AC6" s="739">
        <v>110383</v>
      </c>
      <c r="AD6" s="739">
        <v>128623</v>
      </c>
      <c r="AE6" s="1397">
        <v>88743</v>
      </c>
    </row>
    <row r="7" spans="1:31" s="632" customFormat="1" ht="11.25">
      <c r="A7" s="733" t="s">
        <v>16</v>
      </c>
      <c r="B7" s="120">
        <f t="shared" si="0"/>
        <v>-0.05054715997915581</v>
      </c>
      <c r="C7" s="121">
        <v>9110</v>
      </c>
      <c r="D7" s="30">
        <v>9595</v>
      </c>
      <c r="E7" s="1368">
        <v>8885</v>
      </c>
      <c r="F7" s="1368">
        <v>10596</v>
      </c>
      <c r="G7" s="1372">
        <v>8849</v>
      </c>
      <c r="H7" s="1378">
        <f t="shared" si="1"/>
        <v>-0.10655821047280122</v>
      </c>
      <c r="I7" s="858">
        <v>8787</v>
      </c>
      <c r="J7" s="1290">
        <v>9835</v>
      </c>
      <c r="K7" s="1379">
        <v>9932</v>
      </c>
      <c r="L7" s="1379">
        <v>10633</v>
      </c>
      <c r="M7" s="1380">
        <v>9580</v>
      </c>
      <c r="N7" s="526">
        <f t="shared" si="2"/>
        <v>2.362962962962963</v>
      </c>
      <c r="O7" s="527">
        <v>1816</v>
      </c>
      <c r="P7" s="1391">
        <v>540</v>
      </c>
      <c r="Q7" s="1390">
        <v>398</v>
      </c>
      <c r="R7" s="1390">
        <v>768</v>
      </c>
      <c r="S7" s="1390">
        <v>650</v>
      </c>
      <c r="T7" s="218">
        <f t="shared" si="3"/>
        <v>-0.0128693039559339</v>
      </c>
      <c r="U7" s="737">
        <f t="shared" si="4"/>
        <v>19713</v>
      </c>
      <c r="V7" s="737">
        <f t="shared" si="5"/>
        <v>19970</v>
      </c>
      <c r="W7" s="737">
        <f t="shared" si="5"/>
        <v>19215</v>
      </c>
      <c r="X7" s="737">
        <f t="shared" si="5"/>
        <v>21997</v>
      </c>
      <c r="Y7" s="828">
        <f t="shared" si="5"/>
        <v>19079</v>
      </c>
      <c r="Z7" s="380">
        <f t="shared" si="6"/>
        <v>0.014100880147289987</v>
      </c>
      <c r="AA7" s="246">
        <f>90425-92.95</f>
        <v>90332.05</v>
      </c>
      <c r="AB7" s="739">
        <v>89076</v>
      </c>
      <c r="AC7" s="739">
        <v>90869</v>
      </c>
      <c r="AD7" s="739">
        <v>99962</v>
      </c>
      <c r="AE7" s="1397">
        <v>89027</v>
      </c>
    </row>
    <row r="8" spans="1:31" s="632" customFormat="1" ht="11.25">
      <c r="A8" s="733" t="s">
        <v>17</v>
      </c>
      <c r="B8" s="120">
        <f t="shared" si="0"/>
        <v>-0.2442536957558417</v>
      </c>
      <c r="C8" s="121">
        <v>7924</v>
      </c>
      <c r="D8" s="30">
        <v>10485</v>
      </c>
      <c r="E8" s="1368">
        <v>8418</v>
      </c>
      <c r="F8" s="1368">
        <v>10279</v>
      </c>
      <c r="G8" s="1372">
        <v>8479</v>
      </c>
      <c r="H8" s="1378">
        <f t="shared" si="1"/>
        <v>-0.13415326395458846</v>
      </c>
      <c r="I8" s="858">
        <v>9152</v>
      </c>
      <c r="J8" s="1290">
        <v>10570</v>
      </c>
      <c r="K8" s="1379">
        <v>10349</v>
      </c>
      <c r="L8" s="1379">
        <v>9558</v>
      </c>
      <c r="M8" s="1380">
        <v>8842</v>
      </c>
      <c r="N8" s="526">
        <f t="shared" si="2"/>
        <v>0.6028880866425993</v>
      </c>
      <c r="O8" s="527">
        <v>888</v>
      </c>
      <c r="P8" s="1391">
        <v>554</v>
      </c>
      <c r="Q8" s="1390">
        <v>495</v>
      </c>
      <c r="R8" s="1390">
        <v>732</v>
      </c>
      <c r="S8" s="1390">
        <v>706</v>
      </c>
      <c r="T8" s="218">
        <f t="shared" si="3"/>
        <v>-0.16867971678467306</v>
      </c>
      <c r="U8" s="737">
        <f t="shared" si="4"/>
        <v>17964</v>
      </c>
      <c r="V8" s="737">
        <f t="shared" si="5"/>
        <v>21609</v>
      </c>
      <c r="W8" s="737">
        <f t="shared" si="5"/>
        <v>19262</v>
      </c>
      <c r="X8" s="737">
        <f t="shared" si="5"/>
        <v>20569</v>
      </c>
      <c r="Y8" s="828">
        <f t="shared" si="5"/>
        <v>18027</v>
      </c>
      <c r="Z8" s="380">
        <f t="shared" si="6"/>
        <v>-0.08649053093497538</v>
      </c>
      <c r="AA8" s="246">
        <v>90347</v>
      </c>
      <c r="AB8" s="739">
        <v>98901</v>
      </c>
      <c r="AC8" s="739">
        <v>96255</v>
      </c>
      <c r="AD8" s="739">
        <v>87927</v>
      </c>
      <c r="AE8" s="1397">
        <v>84702</v>
      </c>
    </row>
    <row r="9" spans="1:31" s="632" customFormat="1" ht="11.25">
      <c r="A9" s="733" t="s">
        <v>18</v>
      </c>
      <c r="B9" s="120">
        <f t="shared" si="0"/>
        <v>0.03392517438173748</v>
      </c>
      <c r="C9" s="121">
        <v>9783</v>
      </c>
      <c r="D9" s="30">
        <v>9462</v>
      </c>
      <c r="E9" s="1368">
        <v>9938</v>
      </c>
      <c r="F9" s="1368">
        <v>8780</v>
      </c>
      <c r="G9" s="1372">
        <v>9412</v>
      </c>
      <c r="H9" s="1378">
        <f t="shared" si="1"/>
        <v>0.005038560411311054</v>
      </c>
      <c r="I9" s="858">
        <v>9774</v>
      </c>
      <c r="J9" s="1290">
        <v>9725</v>
      </c>
      <c r="K9" s="1379">
        <v>10339</v>
      </c>
      <c r="L9" s="1379">
        <v>8804</v>
      </c>
      <c r="M9" s="1380">
        <v>9061</v>
      </c>
      <c r="N9" s="526">
        <f t="shared" si="2"/>
        <v>0.052917232021709636</v>
      </c>
      <c r="O9" s="527">
        <v>776</v>
      </c>
      <c r="P9" s="1391">
        <v>737</v>
      </c>
      <c r="Q9" s="1390">
        <v>571</v>
      </c>
      <c r="R9" s="1390">
        <v>572</v>
      </c>
      <c r="S9" s="1390">
        <v>848</v>
      </c>
      <c r="T9" s="218">
        <f t="shared" si="3"/>
        <v>0.02052800642441277</v>
      </c>
      <c r="U9" s="737">
        <f t="shared" si="4"/>
        <v>20333</v>
      </c>
      <c r="V9" s="737">
        <f t="shared" si="5"/>
        <v>19924</v>
      </c>
      <c r="W9" s="737">
        <f t="shared" si="5"/>
        <v>20848</v>
      </c>
      <c r="X9" s="737">
        <f t="shared" si="5"/>
        <v>18156</v>
      </c>
      <c r="Y9" s="828">
        <f t="shared" si="5"/>
        <v>19321</v>
      </c>
      <c r="Z9" s="380">
        <f t="shared" si="6"/>
        <v>-0.06792801210179747</v>
      </c>
      <c r="AA9" s="1596">
        <v>83797</v>
      </c>
      <c r="AB9" s="739">
        <v>89904</v>
      </c>
      <c r="AC9" s="739">
        <v>96172</v>
      </c>
      <c r="AD9" s="739">
        <v>87421</v>
      </c>
      <c r="AE9" s="1397">
        <v>88642</v>
      </c>
    </row>
    <row r="10" spans="1:31" s="632" customFormat="1" ht="11.25">
      <c r="A10" s="733" t="s">
        <v>19</v>
      </c>
      <c r="B10" s="120">
        <f t="shared" si="0"/>
        <v>-0.01908140761338575</v>
      </c>
      <c r="C10" s="121">
        <v>10230</v>
      </c>
      <c r="D10" s="121">
        <v>10429</v>
      </c>
      <c r="E10" s="1368">
        <v>9140</v>
      </c>
      <c r="F10" s="1368">
        <v>9297</v>
      </c>
      <c r="G10" s="1372">
        <v>8810</v>
      </c>
      <c r="H10" s="1378">
        <f t="shared" si="1"/>
        <v>-0.06340029397354238</v>
      </c>
      <c r="I10" s="858">
        <v>9558</v>
      </c>
      <c r="J10" s="858">
        <v>10205</v>
      </c>
      <c r="K10" s="1379">
        <v>9667</v>
      </c>
      <c r="L10" s="1379">
        <v>10086</v>
      </c>
      <c r="M10" s="1380">
        <v>9186</v>
      </c>
      <c r="N10" s="526">
        <f t="shared" si="2"/>
        <v>0.11442786069651742</v>
      </c>
      <c r="O10" s="527">
        <v>672</v>
      </c>
      <c r="P10" s="527">
        <v>603</v>
      </c>
      <c r="Q10" s="1390">
        <v>486</v>
      </c>
      <c r="R10" s="1390">
        <v>684</v>
      </c>
      <c r="S10" s="1390">
        <v>797</v>
      </c>
      <c r="T10" s="218">
        <f>SUM(U10-V10)/V10</f>
        <v>-0.03658708857183218</v>
      </c>
      <c r="U10" s="737">
        <f>+C10+I10+O10</f>
        <v>20460</v>
      </c>
      <c r="V10" s="737">
        <f t="shared" si="5"/>
        <v>21237</v>
      </c>
      <c r="W10" s="737">
        <f t="shared" si="5"/>
        <v>19293</v>
      </c>
      <c r="X10" s="737">
        <f t="shared" si="5"/>
        <v>20067</v>
      </c>
      <c r="Y10" s="828">
        <f t="shared" si="5"/>
        <v>18793</v>
      </c>
      <c r="Z10" s="380">
        <f t="shared" si="6"/>
        <v>0.05814175277974127</v>
      </c>
      <c r="AA10" s="246">
        <v>94309</v>
      </c>
      <c r="AB10" s="246">
        <v>89127</v>
      </c>
      <c r="AC10" s="739">
        <v>89015</v>
      </c>
      <c r="AD10" s="739">
        <v>93967</v>
      </c>
      <c r="AE10" s="1397">
        <v>94392</v>
      </c>
    </row>
    <row r="11" spans="1:31" s="632" customFormat="1" ht="11.25">
      <c r="A11" s="733" t="s">
        <v>20</v>
      </c>
      <c r="B11" s="120"/>
      <c r="C11" s="121"/>
      <c r="D11" s="30">
        <v>9723</v>
      </c>
      <c r="E11" s="1368">
        <v>8882</v>
      </c>
      <c r="F11" s="1368">
        <v>10916</v>
      </c>
      <c r="G11" s="1372">
        <v>10380</v>
      </c>
      <c r="H11" s="1378"/>
      <c r="I11" s="1381"/>
      <c r="J11" s="1290">
        <v>11314</v>
      </c>
      <c r="K11" s="1379">
        <v>9938</v>
      </c>
      <c r="L11" s="1379">
        <v>9383</v>
      </c>
      <c r="M11" s="1380">
        <v>9256</v>
      </c>
      <c r="N11" s="526"/>
      <c r="O11" s="1364"/>
      <c r="P11" s="1391">
        <v>920</v>
      </c>
      <c r="Q11" s="1390">
        <v>316</v>
      </c>
      <c r="R11" s="1390">
        <v>740</v>
      </c>
      <c r="S11" s="1390">
        <v>742</v>
      </c>
      <c r="T11" s="218"/>
      <c r="U11" s="737"/>
      <c r="V11" s="737">
        <f t="shared" si="5"/>
        <v>21957</v>
      </c>
      <c r="W11" s="737">
        <f t="shared" si="5"/>
        <v>19136</v>
      </c>
      <c r="X11" s="737">
        <f t="shared" si="5"/>
        <v>21039</v>
      </c>
      <c r="Y11" s="828">
        <f t="shared" si="5"/>
        <v>20378</v>
      </c>
      <c r="Z11" s="380"/>
      <c r="AA11" s="741"/>
      <c r="AB11" s="739">
        <v>99196</v>
      </c>
      <c r="AC11" s="739">
        <v>91336</v>
      </c>
      <c r="AD11" s="739">
        <v>92996</v>
      </c>
      <c r="AE11" s="1397">
        <v>91324</v>
      </c>
    </row>
    <row r="12" spans="1:31" s="632" customFormat="1" ht="11.25">
      <c r="A12" s="733" t="s">
        <v>21</v>
      </c>
      <c r="B12" s="120"/>
      <c r="C12" s="121"/>
      <c r="D12" s="30">
        <v>9253</v>
      </c>
      <c r="E12" s="1368">
        <v>9375</v>
      </c>
      <c r="F12" s="1368">
        <v>8898</v>
      </c>
      <c r="G12" s="1372">
        <v>6415</v>
      </c>
      <c r="H12" s="1378"/>
      <c r="I12" s="1381"/>
      <c r="J12" s="1290">
        <v>9725</v>
      </c>
      <c r="K12" s="1379">
        <v>10690</v>
      </c>
      <c r="L12" s="1379">
        <v>10212</v>
      </c>
      <c r="M12" s="1380">
        <v>7828</v>
      </c>
      <c r="N12" s="526"/>
      <c r="O12" s="1364"/>
      <c r="P12" s="1391">
        <v>660</v>
      </c>
      <c r="Q12" s="1390">
        <v>744</v>
      </c>
      <c r="R12" s="1390">
        <v>587</v>
      </c>
      <c r="S12" s="1390">
        <v>485</v>
      </c>
      <c r="T12" s="218"/>
      <c r="U12" s="737"/>
      <c r="V12" s="737">
        <f t="shared" si="5"/>
        <v>19638</v>
      </c>
      <c r="W12" s="737">
        <f t="shared" si="5"/>
        <v>20809</v>
      </c>
      <c r="X12" s="737">
        <f t="shared" si="5"/>
        <v>19697</v>
      </c>
      <c r="Y12" s="828">
        <f t="shared" si="5"/>
        <v>14728</v>
      </c>
      <c r="Z12" s="380"/>
      <c r="AA12" s="741"/>
      <c r="AB12" s="739">
        <v>95411</v>
      </c>
      <c r="AC12" s="739">
        <v>98860</v>
      </c>
      <c r="AD12" s="739">
        <v>95023</v>
      </c>
      <c r="AE12" s="1397">
        <v>73464</v>
      </c>
    </row>
    <row r="13" spans="1:31" s="632" customFormat="1" ht="11.25">
      <c r="A13" s="733" t="s">
        <v>22</v>
      </c>
      <c r="B13" s="120"/>
      <c r="C13" s="30"/>
      <c r="D13" s="1368">
        <v>10158</v>
      </c>
      <c r="E13" s="30">
        <v>10039</v>
      </c>
      <c r="F13" s="1369">
        <v>8441</v>
      </c>
      <c r="G13" s="1372">
        <v>9264</v>
      </c>
      <c r="H13" s="1378"/>
      <c r="I13" s="1382"/>
      <c r="J13" s="1379">
        <v>10793</v>
      </c>
      <c r="K13" s="1290">
        <v>10581</v>
      </c>
      <c r="L13" s="1383">
        <v>9302</v>
      </c>
      <c r="M13" s="1380">
        <v>9317</v>
      </c>
      <c r="N13" s="526"/>
      <c r="O13" s="1365"/>
      <c r="P13" s="1390">
        <v>695</v>
      </c>
      <c r="Q13" s="1391">
        <v>539</v>
      </c>
      <c r="R13" s="1392">
        <v>386</v>
      </c>
      <c r="S13" s="1392">
        <v>610</v>
      </c>
      <c r="T13" s="218"/>
      <c r="U13" s="737"/>
      <c r="V13" s="737">
        <f t="shared" si="5"/>
        <v>21646</v>
      </c>
      <c r="W13" s="737">
        <f t="shared" si="5"/>
        <v>21159</v>
      </c>
      <c r="X13" s="737">
        <f t="shared" si="5"/>
        <v>18129</v>
      </c>
      <c r="Y13" s="828">
        <f t="shared" si="5"/>
        <v>19191</v>
      </c>
      <c r="Z13" s="380"/>
      <c r="AA13" s="741"/>
      <c r="AB13" s="739">
        <v>89292</v>
      </c>
      <c r="AC13" s="739">
        <v>93848</v>
      </c>
      <c r="AD13" s="739">
        <v>85296</v>
      </c>
      <c r="AE13" s="1397">
        <v>103539</v>
      </c>
    </row>
    <row r="14" spans="1:31" s="632" customFormat="1" ht="11.25">
      <c r="A14" s="733" t="s">
        <v>23</v>
      </c>
      <c r="B14" s="120"/>
      <c r="C14" s="689"/>
      <c r="D14" s="1368">
        <v>11869</v>
      </c>
      <c r="E14" s="30">
        <v>11469</v>
      </c>
      <c r="F14" s="1368">
        <v>11000</v>
      </c>
      <c r="G14" s="1372">
        <v>11009</v>
      </c>
      <c r="H14" s="1378"/>
      <c r="I14" s="1382"/>
      <c r="J14" s="1379">
        <v>12454</v>
      </c>
      <c r="K14" s="1290">
        <v>12235</v>
      </c>
      <c r="L14" s="1379">
        <v>11475</v>
      </c>
      <c r="M14" s="1380">
        <v>10591</v>
      </c>
      <c r="N14" s="526"/>
      <c r="O14" s="1365"/>
      <c r="P14" s="1393">
        <v>1022</v>
      </c>
      <c r="Q14" s="1391">
        <v>627</v>
      </c>
      <c r="R14" s="1390">
        <v>683</v>
      </c>
      <c r="S14" s="1390">
        <v>974</v>
      </c>
      <c r="T14" s="218"/>
      <c r="U14" s="737"/>
      <c r="V14" s="737">
        <f t="shared" si="5"/>
        <v>25345</v>
      </c>
      <c r="W14" s="737">
        <f t="shared" si="5"/>
        <v>24331</v>
      </c>
      <c r="X14" s="737">
        <f t="shared" si="5"/>
        <v>23158</v>
      </c>
      <c r="Y14" s="828">
        <f t="shared" si="5"/>
        <v>22574</v>
      </c>
      <c r="Z14" s="380"/>
      <c r="AA14" s="742"/>
      <c r="AB14" s="739">
        <v>108868</v>
      </c>
      <c r="AC14" s="739">
        <v>111132</v>
      </c>
      <c r="AD14" s="739">
        <v>106914</v>
      </c>
      <c r="AE14" s="1397">
        <v>100705</v>
      </c>
    </row>
    <row r="15" spans="1:31" s="632" customFormat="1" ht="12" thickBot="1">
      <c r="A15" s="744" t="s">
        <v>24</v>
      </c>
      <c r="B15" s="521"/>
      <c r="C15" s="691"/>
      <c r="D15" s="1373">
        <v>10641</v>
      </c>
      <c r="E15" s="940">
        <v>10365</v>
      </c>
      <c r="F15" s="1373">
        <v>11599</v>
      </c>
      <c r="G15" s="1374">
        <v>11023</v>
      </c>
      <c r="H15" s="1384"/>
      <c r="I15" s="1385"/>
      <c r="J15" s="1386">
        <v>10447</v>
      </c>
      <c r="K15" s="1293">
        <v>11241</v>
      </c>
      <c r="L15" s="1386">
        <v>11367</v>
      </c>
      <c r="M15" s="1387">
        <v>11831</v>
      </c>
      <c r="N15" s="1366"/>
      <c r="O15" s="1367"/>
      <c r="P15" s="1394">
        <v>706</v>
      </c>
      <c r="Q15" s="1395">
        <v>534</v>
      </c>
      <c r="R15" s="1394">
        <v>421</v>
      </c>
      <c r="S15" s="1394">
        <v>970</v>
      </c>
      <c r="T15" s="453"/>
      <c r="U15" s="745"/>
      <c r="V15" s="745">
        <f t="shared" si="5"/>
        <v>21794</v>
      </c>
      <c r="W15" s="745">
        <f t="shared" si="5"/>
        <v>22140</v>
      </c>
      <c r="X15" s="745">
        <f t="shared" si="5"/>
        <v>23387</v>
      </c>
      <c r="Y15" s="1400">
        <f t="shared" si="5"/>
        <v>23824</v>
      </c>
      <c r="Z15" s="519"/>
      <c r="AA15" s="1318"/>
      <c r="AB15" s="1398">
        <v>85440</v>
      </c>
      <c r="AC15" s="1398">
        <v>98213</v>
      </c>
      <c r="AD15" s="1398">
        <v>100325</v>
      </c>
      <c r="AE15" s="1399">
        <v>113477</v>
      </c>
    </row>
    <row r="16" spans="1:31" s="957" customFormat="1" ht="11.25">
      <c r="A16" s="655" t="s">
        <v>25</v>
      </c>
      <c r="B16" s="588">
        <f>SUM(C16-D16)/D16</f>
        <v>-0.06735881793250126</v>
      </c>
      <c r="C16" s="746">
        <f>SUM(C4:C10)</f>
        <v>66654</v>
      </c>
      <c r="D16" s="746">
        <f>SUM(D4:D10)</f>
        <v>71468</v>
      </c>
      <c r="E16" s="746">
        <f>SUM(E4:E10)</f>
        <v>66250</v>
      </c>
      <c r="F16" s="746">
        <f>SUM(F4:F10)</f>
        <v>68302</v>
      </c>
      <c r="G16" s="746">
        <f>SUM(G4:G10)</f>
        <v>61745</v>
      </c>
      <c r="H16" s="588">
        <f>SUM(I16-J16)/J16</f>
        <v>-0.08138669020105353</v>
      </c>
      <c r="I16" s="746">
        <f>SUM(I4:I10)</f>
        <v>66616</v>
      </c>
      <c r="J16" s="746">
        <f>SUM(J4:J10)</f>
        <v>72518</v>
      </c>
      <c r="K16" s="746">
        <f>SUM(K4:K10)</f>
        <v>70291</v>
      </c>
      <c r="L16" s="746">
        <f>SUM(L4:L10)</f>
        <v>68927</v>
      </c>
      <c r="M16" s="746">
        <f>SUM(M4:M10)</f>
        <v>63641</v>
      </c>
      <c r="N16" s="588">
        <f>SUM(O16-P16)/P16</f>
        <v>0.43109869646182497</v>
      </c>
      <c r="O16" s="746">
        <f>SUM(O4:O10)</f>
        <v>6148</v>
      </c>
      <c r="P16" s="746">
        <f>SUM(P4:P10)</f>
        <v>4296</v>
      </c>
      <c r="Q16" s="746">
        <f>SUM(Q4:Q10)</f>
        <v>2844</v>
      </c>
      <c r="R16" s="746">
        <f>SUM(R4:R10)</f>
        <v>4652</v>
      </c>
      <c r="S16" s="746">
        <f>SUM(S4:S10)</f>
        <v>4654</v>
      </c>
      <c r="T16" s="396">
        <f>SUM(U16-V16)/V16</f>
        <v>-0.059777990585505994</v>
      </c>
      <c r="U16" s="810">
        <f>+C16+I16+O16</f>
        <v>139418</v>
      </c>
      <c r="V16" s="810">
        <f>+D16+J16+P16</f>
        <v>148282</v>
      </c>
      <c r="W16" s="810">
        <f>+E16+K16+Q16</f>
        <v>139385</v>
      </c>
      <c r="X16" s="810">
        <f>+F16+L16+R16</f>
        <v>141881</v>
      </c>
      <c r="Y16" s="1335">
        <f>+G16+M16+S16</f>
        <v>130040</v>
      </c>
      <c r="Z16" s="396">
        <f>SUM(AA16-AB16)/AB16</f>
        <v>-0.03530548064871428</v>
      </c>
      <c r="AA16" s="746">
        <f>SUM(AA4:AA10)</f>
        <v>634986.05</v>
      </c>
      <c r="AB16" s="746">
        <f>SUM(AB4:AB10)</f>
        <v>658225</v>
      </c>
      <c r="AC16" s="746">
        <f>SUM(AC4:AC10)</f>
        <v>655399</v>
      </c>
      <c r="AD16" s="746">
        <f>SUM(AD4:AD10)</f>
        <v>645899</v>
      </c>
      <c r="AE16" s="746">
        <f>SUM(AE4:AE10)</f>
        <v>608454</v>
      </c>
    </row>
    <row r="17" spans="1:31" s="957" customFormat="1" ht="12" thickBot="1">
      <c r="A17" s="548" t="s">
        <v>26</v>
      </c>
      <c r="B17" s="313">
        <f>SUM(C17-D17)/D17</f>
        <v>-0.0718695171876016</v>
      </c>
      <c r="C17" s="747">
        <f>AVERAGE(C4:C15)</f>
        <v>9522</v>
      </c>
      <c r="D17" s="747">
        <f>AVERAGE(D4:D15)</f>
        <v>10259.333333333334</v>
      </c>
      <c r="E17" s="747">
        <f>AVERAGE(E4:E15)</f>
        <v>9698.333333333334</v>
      </c>
      <c r="F17" s="747">
        <f>AVERAGE(F4:F15)</f>
        <v>9929.666666666666</v>
      </c>
      <c r="G17" s="747">
        <f>AVERAGE(G4:G15)</f>
        <v>9153</v>
      </c>
      <c r="H17" s="313">
        <f>SUM(I17-J17)/J17</f>
        <v>-0.10257006119514069</v>
      </c>
      <c r="I17" s="747">
        <f>AVERAGE(I4:I15)</f>
        <v>9516.57142857143</v>
      </c>
      <c r="J17" s="747">
        <f>AVERAGE(J4:J15)</f>
        <v>10604.25</v>
      </c>
      <c r="K17" s="747">
        <f>AVERAGE(K4:K15)</f>
        <v>10414.666666666666</v>
      </c>
      <c r="L17" s="747">
        <f>AVERAGE(L4:L15)</f>
        <v>10055.5</v>
      </c>
      <c r="M17" s="747">
        <f>AVERAGE(M4:M15)</f>
        <v>9372</v>
      </c>
      <c r="N17" s="313">
        <f>SUM(O17-P17)/P17</f>
        <v>0.26996367892861445</v>
      </c>
      <c r="O17" s="747">
        <f>AVERAGE(O4:O15)</f>
        <v>878.2857142857143</v>
      </c>
      <c r="P17" s="747">
        <f>AVERAGE(P4:P15)</f>
        <v>691.5833333333334</v>
      </c>
      <c r="Q17" s="747">
        <f>AVERAGE(Q4:Q15)</f>
        <v>467</v>
      </c>
      <c r="R17" s="747">
        <f>AVERAGE(R4:R15)</f>
        <v>622.4166666666666</v>
      </c>
      <c r="S17" s="1062">
        <f>AVERAGE(S4:S15)</f>
        <v>702.9166666666666</v>
      </c>
      <c r="T17" s="313">
        <f>SUM(U17-V17)/V17</f>
        <v>-0.0793121796846557</v>
      </c>
      <c r="U17" s="295">
        <f>AVERAGE(U4:U8)</f>
        <v>19725</v>
      </c>
      <c r="V17" s="295">
        <f>AVERAGE(V4:V8)</f>
        <v>21424.2</v>
      </c>
      <c r="W17" s="747">
        <f>AVERAGE(W4:W15)</f>
        <v>20580</v>
      </c>
      <c r="X17" s="747">
        <f>AVERAGE(X4:X15)</f>
        <v>20607.583333333332</v>
      </c>
      <c r="Y17" s="748">
        <f>AVERAGE(Y4:Y15)</f>
        <v>19227.916666666668</v>
      </c>
      <c r="Z17" s="313">
        <f>SUM(AA17-AB17)/AB17</f>
        <v>-0.04213581253808912</v>
      </c>
      <c r="AA17" s="747">
        <f>AVERAGE(AA4:AA15)</f>
        <v>90712.29285714286</v>
      </c>
      <c r="AB17" s="747">
        <f>AVERAGE(AB4:AB15)</f>
        <v>94702.66666666667</v>
      </c>
      <c r="AC17" s="747">
        <f>AVERAGE(AC4:AC15)</f>
        <v>95732.33333333333</v>
      </c>
      <c r="AD17" s="747">
        <f>AVERAGE(AD4:AD15)</f>
        <v>93871.08333333333</v>
      </c>
      <c r="AE17" s="748">
        <f>AVERAGE(AE4:AE15)</f>
        <v>90913.58333333333</v>
      </c>
    </row>
    <row r="18" spans="3:36" s="4" customFormat="1" ht="11.25">
      <c r="C18" s="272"/>
      <c r="D18" s="272"/>
      <c r="E18" s="272"/>
      <c r="F18" s="272"/>
      <c r="G18" s="272"/>
      <c r="AG18" s="272"/>
      <c r="AH18" s="272"/>
      <c r="AI18" s="272"/>
      <c r="AJ18" s="272"/>
    </row>
    <row r="19" spans="3:36" s="4" customFormat="1" ht="11.25">
      <c r="C19" s="272"/>
      <c r="D19" s="272"/>
      <c r="E19" s="272"/>
      <c r="F19" s="272"/>
      <c r="G19" s="272"/>
      <c r="AG19" s="272"/>
      <c r="AH19" s="272"/>
      <c r="AI19" s="272"/>
      <c r="AJ19" s="272"/>
    </row>
    <row r="20" spans="3:36" s="4" customFormat="1" ht="11.25">
      <c r="C20" s="272"/>
      <c r="D20" s="272"/>
      <c r="E20" s="272"/>
      <c r="F20" s="272"/>
      <c r="G20" s="272"/>
      <c r="AG20" s="272"/>
      <c r="AH20" s="272"/>
      <c r="AI20" s="272"/>
      <c r="AJ20" s="272"/>
    </row>
    <row r="21" spans="3:36" s="4" customFormat="1" ht="11.25">
      <c r="C21" s="272"/>
      <c r="D21" s="272"/>
      <c r="E21" s="272"/>
      <c r="F21" s="272"/>
      <c r="G21" s="272"/>
      <c r="AG21" s="272"/>
      <c r="AH21" s="272"/>
      <c r="AI21" s="272"/>
      <c r="AJ21" s="272"/>
    </row>
    <row r="22" spans="3:36" s="4" customFormat="1" ht="11.25">
      <c r="C22" s="272"/>
      <c r="D22" s="272"/>
      <c r="E22" s="272"/>
      <c r="F22" s="272"/>
      <c r="G22" s="272"/>
      <c r="AG22" s="272"/>
      <c r="AH22" s="272"/>
      <c r="AI22" s="272"/>
      <c r="AJ22" s="272"/>
    </row>
    <row r="23" spans="3:36" s="4" customFormat="1" ht="11.25">
      <c r="C23" s="272"/>
      <c r="D23" s="272"/>
      <c r="E23" s="272"/>
      <c r="F23" s="272"/>
      <c r="G23" s="272"/>
      <c r="AG23" s="272"/>
      <c r="AH23" s="272"/>
      <c r="AI23" s="272"/>
      <c r="AJ23" s="272"/>
    </row>
    <row r="24" spans="3:36" s="4" customFormat="1" ht="11.25">
      <c r="C24" s="272"/>
      <c r="D24" s="272"/>
      <c r="E24" s="272"/>
      <c r="F24" s="272"/>
      <c r="G24" s="272"/>
      <c r="AG24" s="272"/>
      <c r="AH24" s="272"/>
      <c r="AI24" s="272"/>
      <c r="AJ24" s="272"/>
    </row>
    <row r="25" spans="3:36" s="4" customFormat="1" ht="11.25">
      <c r="C25" s="272"/>
      <c r="D25" s="272"/>
      <c r="E25" s="272"/>
      <c r="F25" s="272"/>
      <c r="G25" s="272"/>
      <c r="AG25" s="272"/>
      <c r="AH25" s="272"/>
      <c r="AI25" s="272"/>
      <c r="AJ25" s="272"/>
    </row>
    <row r="26" spans="3:36" s="4" customFormat="1" ht="11.25">
      <c r="C26" s="272"/>
      <c r="D26" s="272"/>
      <c r="E26" s="272"/>
      <c r="F26" s="272"/>
      <c r="G26" s="272"/>
      <c r="AG26" s="272"/>
      <c r="AH26" s="272"/>
      <c r="AI26" s="272"/>
      <c r="AJ26" s="272"/>
    </row>
    <row r="27" spans="3:36" s="4" customFormat="1" ht="11.25">
      <c r="C27" s="272"/>
      <c r="D27" s="272"/>
      <c r="E27" s="272"/>
      <c r="F27" s="272"/>
      <c r="G27" s="272"/>
      <c r="AG27" s="272"/>
      <c r="AH27" s="272"/>
      <c r="AI27" s="272"/>
      <c r="AJ27" s="272"/>
    </row>
    <row r="28" spans="3:36" s="4" customFormat="1" ht="11.25">
      <c r="C28" s="272"/>
      <c r="D28" s="272"/>
      <c r="E28" s="272"/>
      <c r="F28" s="272"/>
      <c r="G28" s="272"/>
      <c r="AG28" s="272"/>
      <c r="AH28" s="272"/>
      <c r="AI28" s="272"/>
      <c r="AJ28" s="272"/>
    </row>
    <row r="29" spans="3:36" s="4" customFormat="1" ht="11.25">
      <c r="C29" s="272"/>
      <c r="D29" s="272"/>
      <c r="E29" s="272"/>
      <c r="F29" s="272"/>
      <c r="G29" s="272"/>
      <c r="AG29" s="272"/>
      <c r="AH29" s="272"/>
      <c r="AI29" s="272"/>
      <c r="AJ29" s="272"/>
    </row>
    <row r="30" spans="3:36" s="4" customFormat="1" ht="11.25">
      <c r="C30" s="272"/>
      <c r="D30" s="272"/>
      <c r="E30" s="272"/>
      <c r="F30" s="272"/>
      <c r="G30" s="272"/>
      <c r="AG30" s="272"/>
      <c r="AH30" s="272"/>
      <c r="AI30" s="272"/>
      <c r="AJ30" s="272"/>
    </row>
    <row r="31" spans="3:36" s="4" customFormat="1" ht="11.25">
      <c r="C31" s="272"/>
      <c r="D31" s="272"/>
      <c r="E31" s="272"/>
      <c r="F31" s="272"/>
      <c r="G31" s="272"/>
      <c r="AG31" s="272"/>
      <c r="AH31" s="272"/>
      <c r="AI31" s="272"/>
      <c r="AJ31" s="272"/>
    </row>
    <row r="32" spans="3:36" s="4" customFormat="1" ht="11.25">
      <c r="C32" s="272"/>
      <c r="D32" s="272"/>
      <c r="E32" s="272"/>
      <c r="F32" s="272"/>
      <c r="G32" s="272"/>
      <c r="AG32" s="272"/>
      <c r="AH32" s="272"/>
      <c r="AI32" s="272"/>
      <c r="AJ32" s="272"/>
    </row>
    <row r="33" spans="3:36" s="4" customFormat="1" ht="11.25">
      <c r="C33" s="272"/>
      <c r="D33" s="272"/>
      <c r="E33" s="272"/>
      <c r="F33" s="272"/>
      <c r="G33" s="272"/>
      <c r="AG33" s="272"/>
      <c r="AH33" s="272"/>
      <c r="AI33" s="272"/>
      <c r="AJ33" s="272"/>
    </row>
    <row r="34" spans="3:36" s="4" customFormat="1" ht="11.25">
      <c r="C34" s="272"/>
      <c r="D34" s="272"/>
      <c r="E34" s="272"/>
      <c r="F34" s="272"/>
      <c r="G34" s="272"/>
      <c r="AG34" s="272"/>
      <c r="AH34" s="272"/>
      <c r="AI34" s="272"/>
      <c r="AJ34" s="272"/>
    </row>
    <row r="35" spans="3:36" s="4" customFormat="1" ht="11.25">
      <c r="C35" s="272"/>
      <c r="D35" s="272"/>
      <c r="E35" s="272"/>
      <c r="F35" s="272"/>
      <c r="G35" s="272"/>
      <c r="AG35" s="272"/>
      <c r="AH35" s="272"/>
      <c r="AI35" s="272"/>
      <c r="AJ35" s="272"/>
    </row>
    <row r="36" spans="3:36" s="4" customFormat="1" ht="11.25">
      <c r="C36" s="272"/>
      <c r="D36" s="272"/>
      <c r="E36" s="272"/>
      <c r="F36" s="272"/>
      <c r="G36" s="272"/>
      <c r="AG36" s="272"/>
      <c r="AH36" s="272"/>
      <c r="AI36" s="272"/>
      <c r="AJ36" s="272"/>
    </row>
    <row r="37" spans="3:36" s="4" customFormat="1" ht="11.25">
      <c r="C37" s="272"/>
      <c r="D37" s="272"/>
      <c r="E37" s="272"/>
      <c r="F37" s="272"/>
      <c r="G37" s="272"/>
      <c r="AG37" s="272"/>
      <c r="AH37" s="272"/>
      <c r="AI37" s="272"/>
      <c r="AJ37" s="272"/>
    </row>
    <row r="38" spans="3:36" s="4" customFormat="1" ht="11.25">
      <c r="C38" s="272"/>
      <c r="D38" s="272"/>
      <c r="E38" s="272"/>
      <c r="F38" s="272"/>
      <c r="G38" s="272"/>
      <c r="AG38" s="272"/>
      <c r="AH38" s="272"/>
      <c r="AI38" s="272"/>
      <c r="AJ38" s="272"/>
    </row>
    <row r="39" spans="3:36" s="4" customFormat="1" ht="11.25">
      <c r="C39" s="272"/>
      <c r="D39" s="272"/>
      <c r="E39" s="272"/>
      <c r="F39" s="272"/>
      <c r="G39" s="272"/>
      <c r="AG39" s="272"/>
      <c r="AH39" s="272"/>
      <c r="AI39" s="272"/>
      <c r="AJ39" s="272"/>
    </row>
    <row r="40" spans="3:36" s="4" customFormat="1" ht="11.25">
      <c r="C40" s="272"/>
      <c r="D40" s="272"/>
      <c r="E40" s="272"/>
      <c r="F40" s="272"/>
      <c r="G40" s="272"/>
      <c r="AG40" s="272"/>
      <c r="AH40" s="272"/>
      <c r="AI40" s="272"/>
      <c r="AJ40" s="272"/>
    </row>
    <row r="41" spans="3:36" s="4" customFormat="1" ht="11.25">
      <c r="C41" s="272"/>
      <c r="D41" s="272"/>
      <c r="E41" s="272"/>
      <c r="F41" s="272"/>
      <c r="G41" s="272"/>
      <c r="AG41" s="272"/>
      <c r="AH41" s="272"/>
      <c r="AI41" s="272"/>
      <c r="AJ41" s="272"/>
    </row>
    <row r="42" spans="3:36" s="4" customFormat="1" ht="11.25">
      <c r="C42" s="272"/>
      <c r="D42" s="272"/>
      <c r="E42" s="272"/>
      <c r="F42" s="272"/>
      <c r="G42" s="272"/>
      <c r="AG42" s="272"/>
      <c r="AH42" s="272"/>
      <c r="AI42" s="272"/>
      <c r="AJ42" s="272"/>
    </row>
    <row r="43" spans="3:36" s="4" customFormat="1" ht="11.25">
      <c r="C43" s="272"/>
      <c r="D43" s="272"/>
      <c r="E43" s="272"/>
      <c r="F43" s="272"/>
      <c r="G43" s="272"/>
      <c r="AG43" s="272"/>
      <c r="AH43" s="272"/>
      <c r="AI43" s="272"/>
      <c r="AJ43" s="272"/>
    </row>
    <row r="44" spans="3:36" s="4" customFormat="1" ht="11.25">
      <c r="C44" s="272"/>
      <c r="D44" s="272"/>
      <c r="E44" s="272"/>
      <c r="F44" s="272"/>
      <c r="G44" s="272"/>
      <c r="AG44" s="272"/>
      <c r="AH44" s="272"/>
      <c r="AI44" s="272"/>
      <c r="AJ44" s="272"/>
    </row>
    <row r="45" spans="3:36" s="4" customFormat="1" ht="11.25">
      <c r="C45" s="272"/>
      <c r="D45" s="272"/>
      <c r="E45" s="272"/>
      <c r="F45" s="272"/>
      <c r="G45" s="272"/>
      <c r="AG45" s="272"/>
      <c r="AH45" s="272"/>
      <c r="AI45" s="272"/>
      <c r="AJ45" s="272"/>
    </row>
    <row r="46" spans="3:36" s="4" customFormat="1" ht="11.25">
      <c r="C46" s="272"/>
      <c r="D46" s="272"/>
      <c r="E46" s="272"/>
      <c r="F46" s="272"/>
      <c r="G46" s="272"/>
      <c r="AG46" s="272"/>
      <c r="AH46" s="272"/>
      <c r="AI46" s="272"/>
      <c r="AJ46" s="272"/>
    </row>
    <row r="47" spans="3:36" s="4" customFormat="1" ht="11.25">
      <c r="C47" s="272"/>
      <c r="D47" s="272"/>
      <c r="E47" s="272"/>
      <c r="F47" s="272"/>
      <c r="G47" s="272"/>
      <c r="AG47" s="272"/>
      <c r="AH47" s="272"/>
      <c r="AI47" s="272"/>
      <c r="AJ47" s="272"/>
    </row>
    <row r="48" spans="3:36" s="4" customFormat="1" ht="11.25">
      <c r="C48" s="272"/>
      <c r="D48" s="272"/>
      <c r="E48" s="272"/>
      <c r="F48" s="272"/>
      <c r="G48" s="272"/>
      <c r="AG48" s="272"/>
      <c r="AH48" s="272"/>
      <c r="AI48" s="272"/>
      <c r="AJ48" s="272"/>
    </row>
    <row r="49" spans="3:36" s="4" customFormat="1" ht="11.25">
      <c r="C49" s="272"/>
      <c r="D49" s="272"/>
      <c r="E49" s="272"/>
      <c r="F49" s="272"/>
      <c r="G49" s="272"/>
      <c r="AG49" s="272"/>
      <c r="AH49" s="272"/>
      <c r="AI49" s="272"/>
      <c r="AJ49" s="272"/>
    </row>
    <row r="50" spans="3:36" s="4" customFormat="1" ht="11.25">
      <c r="C50" s="272"/>
      <c r="D50" s="272"/>
      <c r="E50" s="272"/>
      <c r="F50" s="272"/>
      <c r="G50" s="272"/>
      <c r="AG50" s="272"/>
      <c r="AH50" s="272"/>
      <c r="AI50" s="272"/>
      <c r="AJ50" s="272"/>
    </row>
    <row r="51" spans="3:36" s="4" customFormat="1" ht="11.25">
      <c r="C51" s="272"/>
      <c r="D51" s="272"/>
      <c r="E51" s="272"/>
      <c r="F51" s="272"/>
      <c r="G51" s="272"/>
      <c r="AG51" s="272"/>
      <c r="AH51" s="272"/>
      <c r="AI51" s="272"/>
      <c r="AJ51" s="272"/>
    </row>
    <row r="52" spans="3:36" s="4" customFormat="1" ht="11.25">
      <c r="C52" s="272"/>
      <c r="D52" s="272"/>
      <c r="E52" s="272"/>
      <c r="F52" s="272"/>
      <c r="G52" s="272"/>
      <c r="AG52" s="272"/>
      <c r="AH52" s="272"/>
      <c r="AI52" s="272"/>
      <c r="AJ52" s="272"/>
    </row>
    <row r="53" spans="3:36" s="4" customFormat="1" ht="11.25">
      <c r="C53" s="272"/>
      <c r="D53" s="272"/>
      <c r="E53" s="272"/>
      <c r="F53" s="272"/>
      <c r="G53" s="272"/>
      <c r="AG53" s="272"/>
      <c r="AH53" s="272"/>
      <c r="AI53" s="272"/>
      <c r="AJ53" s="272"/>
    </row>
    <row r="54" spans="3:36" s="4" customFormat="1" ht="11.25">
      <c r="C54" s="272"/>
      <c r="D54" s="272"/>
      <c r="E54" s="272"/>
      <c r="F54" s="272"/>
      <c r="G54" s="272"/>
      <c r="AG54" s="272"/>
      <c r="AH54" s="272"/>
      <c r="AI54" s="272"/>
      <c r="AJ54" s="272"/>
    </row>
    <row r="55" spans="3:36" s="4" customFormat="1" ht="11.25">
      <c r="C55" s="272"/>
      <c r="D55" s="272"/>
      <c r="E55" s="272"/>
      <c r="F55" s="272"/>
      <c r="G55" s="272"/>
      <c r="AG55" s="272"/>
      <c r="AH55" s="272"/>
      <c r="AI55" s="272"/>
      <c r="AJ55" s="272"/>
    </row>
    <row r="56" spans="3:36" s="4" customFormat="1" ht="11.25">
      <c r="C56" s="272"/>
      <c r="D56" s="272"/>
      <c r="E56" s="272"/>
      <c r="F56" s="272"/>
      <c r="G56" s="272"/>
      <c r="AG56" s="272"/>
      <c r="AH56" s="272"/>
      <c r="AI56" s="272"/>
      <c r="AJ56" s="272"/>
    </row>
    <row r="57" spans="3:36" s="4" customFormat="1" ht="11.25">
      <c r="C57" s="272"/>
      <c r="D57" s="272"/>
      <c r="E57" s="272"/>
      <c r="F57" s="272"/>
      <c r="G57" s="272"/>
      <c r="AG57" s="272"/>
      <c r="AH57" s="272"/>
      <c r="AI57" s="272"/>
      <c r="AJ57" s="272"/>
    </row>
    <row r="58" spans="3:36" s="4" customFormat="1" ht="11.25">
      <c r="C58" s="272"/>
      <c r="D58" s="272"/>
      <c r="E58" s="272"/>
      <c r="F58" s="272"/>
      <c r="G58" s="272"/>
      <c r="AG58" s="272"/>
      <c r="AH58" s="272"/>
      <c r="AI58" s="272"/>
      <c r="AJ58" s="272"/>
    </row>
    <row r="59" spans="3:36" s="4" customFormat="1" ht="11.25">
      <c r="C59" s="272"/>
      <c r="D59" s="272"/>
      <c r="E59" s="272"/>
      <c r="F59" s="272"/>
      <c r="G59" s="272"/>
      <c r="AG59" s="272"/>
      <c r="AH59" s="272"/>
      <c r="AI59" s="272"/>
      <c r="AJ59" s="272"/>
    </row>
    <row r="60" spans="3:36" s="4" customFormat="1" ht="11.25">
      <c r="C60" s="272"/>
      <c r="D60" s="272"/>
      <c r="E60" s="272"/>
      <c r="F60" s="272"/>
      <c r="G60" s="272"/>
      <c r="AG60" s="272"/>
      <c r="AH60" s="272"/>
      <c r="AI60" s="272"/>
      <c r="AJ60" s="272"/>
    </row>
    <row r="61" spans="3:36" s="4" customFormat="1" ht="11.25">
      <c r="C61" s="272"/>
      <c r="D61" s="272"/>
      <c r="E61" s="272"/>
      <c r="F61" s="272"/>
      <c r="G61" s="272"/>
      <c r="AG61" s="272"/>
      <c r="AH61" s="272"/>
      <c r="AI61" s="272"/>
      <c r="AJ61" s="272"/>
    </row>
    <row r="62" spans="3:36" s="4" customFormat="1" ht="11.25">
      <c r="C62" s="272"/>
      <c r="D62" s="272"/>
      <c r="E62" s="272"/>
      <c r="F62" s="272"/>
      <c r="G62" s="272"/>
      <c r="AG62" s="272"/>
      <c r="AH62" s="272"/>
      <c r="AI62" s="272"/>
      <c r="AJ62" s="272"/>
    </row>
    <row r="63" spans="3:36" s="4" customFormat="1" ht="11.25">
      <c r="C63" s="272"/>
      <c r="D63" s="272"/>
      <c r="E63" s="272"/>
      <c r="F63" s="272"/>
      <c r="G63" s="272"/>
      <c r="AG63" s="272"/>
      <c r="AH63" s="272"/>
      <c r="AI63" s="272"/>
      <c r="AJ63" s="272"/>
    </row>
    <row r="64" spans="3:36" s="4" customFormat="1" ht="11.25">
      <c r="C64" s="272"/>
      <c r="D64" s="272"/>
      <c r="E64" s="272"/>
      <c r="F64" s="272"/>
      <c r="G64" s="272"/>
      <c r="AG64" s="272"/>
      <c r="AH64" s="272"/>
      <c r="AI64" s="272"/>
      <c r="AJ64" s="272"/>
    </row>
    <row r="65" spans="3:36" s="4" customFormat="1" ht="11.25">
      <c r="C65" s="272"/>
      <c r="D65" s="272"/>
      <c r="E65" s="272"/>
      <c r="F65" s="272"/>
      <c r="G65" s="272"/>
      <c r="AG65" s="272"/>
      <c r="AH65" s="272"/>
      <c r="AI65" s="272"/>
      <c r="AJ65" s="272"/>
    </row>
    <row r="66" spans="3:36" s="4" customFormat="1" ht="11.25">
      <c r="C66" s="272"/>
      <c r="D66" s="272"/>
      <c r="E66" s="272"/>
      <c r="F66" s="272"/>
      <c r="G66" s="272"/>
      <c r="AG66" s="272"/>
      <c r="AH66" s="272"/>
      <c r="AI66" s="272"/>
      <c r="AJ66" s="272"/>
    </row>
    <row r="67" spans="3:36" s="4" customFormat="1" ht="11.25">
      <c r="C67" s="272"/>
      <c r="D67" s="272"/>
      <c r="E67" s="272"/>
      <c r="F67" s="272"/>
      <c r="G67" s="272"/>
      <c r="AG67" s="272"/>
      <c r="AH67" s="272"/>
      <c r="AI67" s="272"/>
      <c r="AJ67" s="272"/>
    </row>
    <row r="68" spans="3:36" s="4" customFormat="1" ht="11.25">
      <c r="C68" s="272"/>
      <c r="D68" s="272"/>
      <c r="E68" s="272"/>
      <c r="F68" s="272"/>
      <c r="G68" s="272"/>
      <c r="AG68" s="272"/>
      <c r="AH68" s="272"/>
      <c r="AI68" s="272"/>
      <c r="AJ68" s="272"/>
    </row>
    <row r="69" spans="3:36" s="4" customFormat="1" ht="11.25">
      <c r="C69" s="272"/>
      <c r="D69" s="272"/>
      <c r="E69" s="272"/>
      <c r="F69" s="272"/>
      <c r="G69" s="272"/>
      <c r="AG69" s="272"/>
      <c r="AH69" s="272"/>
      <c r="AI69" s="272"/>
      <c r="AJ69" s="272"/>
    </row>
    <row r="70" spans="3:36" s="4" customFormat="1" ht="11.25">
      <c r="C70" s="272"/>
      <c r="D70" s="272"/>
      <c r="E70" s="272"/>
      <c r="F70" s="272"/>
      <c r="G70" s="272"/>
      <c r="AG70" s="272"/>
      <c r="AH70" s="272"/>
      <c r="AI70" s="272"/>
      <c r="AJ70" s="272"/>
    </row>
    <row r="71" spans="3:36" s="4" customFormat="1" ht="11.25">
      <c r="C71" s="272"/>
      <c r="D71" s="272"/>
      <c r="E71" s="272"/>
      <c r="F71" s="272"/>
      <c r="G71" s="272"/>
      <c r="AG71" s="272"/>
      <c r="AH71" s="272"/>
      <c r="AI71" s="272"/>
      <c r="AJ71" s="272"/>
    </row>
    <row r="72" spans="3:36" s="4" customFormat="1" ht="11.25">
      <c r="C72" s="272"/>
      <c r="D72" s="272"/>
      <c r="E72" s="272"/>
      <c r="F72" s="272"/>
      <c r="G72" s="272"/>
      <c r="AG72" s="272"/>
      <c r="AH72" s="272"/>
      <c r="AI72" s="272"/>
      <c r="AJ72" s="272"/>
    </row>
    <row r="73" spans="3:36" s="4" customFormat="1" ht="11.25">
      <c r="C73" s="272"/>
      <c r="D73" s="272"/>
      <c r="E73" s="272"/>
      <c r="F73" s="272"/>
      <c r="G73" s="272"/>
      <c r="AG73" s="272"/>
      <c r="AH73" s="272"/>
      <c r="AI73" s="272"/>
      <c r="AJ73" s="272"/>
    </row>
    <row r="74" spans="3:36" s="4" customFormat="1" ht="11.25">
      <c r="C74" s="272"/>
      <c r="D74" s="272"/>
      <c r="E74" s="272"/>
      <c r="F74" s="272"/>
      <c r="G74" s="272"/>
      <c r="AG74" s="272"/>
      <c r="AH74" s="272"/>
      <c r="AI74" s="272"/>
      <c r="AJ74" s="272"/>
    </row>
    <row r="75" spans="3:36" s="4" customFormat="1" ht="11.25">
      <c r="C75" s="272"/>
      <c r="D75" s="272"/>
      <c r="E75" s="272"/>
      <c r="F75" s="272"/>
      <c r="G75" s="272"/>
      <c r="AG75" s="272"/>
      <c r="AH75" s="272"/>
      <c r="AI75" s="272"/>
      <c r="AJ75" s="272"/>
    </row>
    <row r="76" spans="3:36" s="4" customFormat="1" ht="11.25">
      <c r="C76" s="272"/>
      <c r="D76" s="272"/>
      <c r="E76" s="272"/>
      <c r="F76" s="272"/>
      <c r="G76" s="272"/>
      <c r="AG76" s="272"/>
      <c r="AH76" s="272"/>
      <c r="AI76" s="272"/>
      <c r="AJ76" s="272"/>
    </row>
    <row r="77" spans="3:36" s="4" customFormat="1" ht="11.25">
      <c r="C77" s="272"/>
      <c r="D77" s="272"/>
      <c r="E77" s="272"/>
      <c r="F77" s="272"/>
      <c r="G77" s="272"/>
      <c r="AG77" s="272"/>
      <c r="AH77" s="272"/>
      <c r="AI77" s="272"/>
      <c r="AJ77" s="272"/>
    </row>
    <row r="78" spans="3:36" s="4" customFormat="1" ht="11.25">
      <c r="C78" s="272"/>
      <c r="D78" s="272"/>
      <c r="E78" s="272"/>
      <c r="F78" s="272"/>
      <c r="G78" s="272"/>
      <c r="AG78" s="272"/>
      <c r="AH78" s="272"/>
      <c r="AI78" s="272"/>
      <c r="AJ78" s="272"/>
    </row>
    <row r="79" spans="3:36" s="4" customFormat="1" ht="11.25">
      <c r="C79" s="272"/>
      <c r="D79" s="272"/>
      <c r="E79" s="272"/>
      <c r="F79" s="272"/>
      <c r="G79" s="272"/>
      <c r="AG79" s="272"/>
      <c r="AH79" s="272"/>
      <c r="AI79" s="272"/>
      <c r="AJ79" s="272"/>
    </row>
    <row r="80" spans="3:36" s="4" customFormat="1" ht="11.25">
      <c r="C80" s="272"/>
      <c r="D80" s="272"/>
      <c r="E80" s="272"/>
      <c r="F80" s="272"/>
      <c r="G80" s="272"/>
      <c r="AG80" s="272"/>
      <c r="AH80" s="272"/>
      <c r="AI80" s="272"/>
      <c r="AJ80" s="272"/>
    </row>
    <row r="81" spans="3:36" s="4" customFormat="1" ht="11.25">
      <c r="C81" s="272"/>
      <c r="D81" s="272"/>
      <c r="E81" s="272"/>
      <c r="F81" s="272"/>
      <c r="G81" s="272"/>
      <c r="AG81" s="272"/>
      <c r="AH81" s="272"/>
      <c r="AI81" s="272"/>
      <c r="AJ81" s="272"/>
    </row>
    <row r="82" spans="3:36" s="4" customFormat="1" ht="11.25">
      <c r="C82" s="272"/>
      <c r="D82" s="272"/>
      <c r="E82" s="272"/>
      <c r="F82" s="272"/>
      <c r="G82" s="272"/>
      <c r="AG82" s="272"/>
      <c r="AH82" s="272"/>
      <c r="AI82" s="272"/>
      <c r="AJ82" s="272"/>
    </row>
    <row r="83" spans="3:36" s="4" customFormat="1" ht="11.25">
      <c r="C83" s="272"/>
      <c r="D83" s="272"/>
      <c r="E83" s="272"/>
      <c r="F83" s="272"/>
      <c r="G83" s="272"/>
      <c r="AG83" s="272"/>
      <c r="AH83" s="272"/>
      <c r="AI83" s="272"/>
      <c r="AJ83" s="272"/>
    </row>
    <row r="84" spans="3:36" s="4" customFormat="1" ht="11.25">
      <c r="C84" s="272"/>
      <c r="D84" s="272"/>
      <c r="E84" s="272"/>
      <c r="F84" s="272"/>
      <c r="G84" s="272"/>
      <c r="AG84" s="272"/>
      <c r="AH84" s="272"/>
      <c r="AI84" s="272"/>
      <c r="AJ84" s="272"/>
    </row>
    <row r="85" spans="3:36" s="4" customFormat="1" ht="11.25">
      <c r="C85" s="272"/>
      <c r="D85" s="272"/>
      <c r="E85" s="272"/>
      <c r="F85" s="272"/>
      <c r="G85" s="272"/>
      <c r="AG85" s="272"/>
      <c r="AH85" s="272"/>
      <c r="AI85" s="272"/>
      <c r="AJ85" s="272"/>
    </row>
  </sheetData>
  <mergeCells count="6">
    <mergeCell ref="T2:Y2"/>
    <mergeCell ref="Z2:AE2"/>
    <mergeCell ref="A1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H6" sqref="H6"/>
    </sheetView>
  </sheetViews>
  <sheetFormatPr defaultColWidth="9.140625" defaultRowHeight="12.75"/>
  <cols>
    <col min="1" max="1" width="17.8515625" style="0" customWidth="1"/>
    <col min="2" max="2" width="9.57421875" style="0" bestFit="1" customWidth="1"/>
    <col min="3" max="5" width="6.57421875" style="0" customWidth="1"/>
    <col min="6" max="6" width="9.57421875" style="0" customWidth="1"/>
    <col min="7" max="7" width="6.57421875" style="0" bestFit="1" customWidth="1"/>
    <col min="8" max="9" width="6.57421875" style="0" customWidth="1"/>
    <col min="10" max="10" width="9.57421875" style="0" bestFit="1" customWidth="1"/>
    <col min="11" max="13" width="6.57421875" style="0" customWidth="1"/>
  </cols>
  <sheetData>
    <row r="1" spans="1:13" ht="13.5" customHeight="1" thickBot="1">
      <c r="A1" s="1901" t="s">
        <v>225</v>
      </c>
      <c r="B1" s="1771" t="s">
        <v>185</v>
      </c>
      <c r="C1" s="1772">
        <v>2008</v>
      </c>
      <c r="D1" s="1772">
        <v>2007</v>
      </c>
      <c r="E1" s="1773">
        <v>2006</v>
      </c>
      <c r="F1" s="834" t="s">
        <v>180</v>
      </c>
      <c r="G1" s="835">
        <v>2008</v>
      </c>
      <c r="H1" s="835">
        <v>2007</v>
      </c>
      <c r="I1" s="836">
        <v>2006</v>
      </c>
      <c r="J1" s="1018" t="s">
        <v>180</v>
      </c>
      <c r="K1" s="130">
        <v>2008</v>
      </c>
      <c r="L1" s="130">
        <v>2007</v>
      </c>
      <c r="M1" s="227">
        <v>2006</v>
      </c>
    </row>
    <row r="2" spans="1:13" ht="13.5" thickBot="1">
      <c r="A2" s="2070"/>
      <c r="B2" s="1930" t="s">
        <v>227</v>
      </c>
      <c r="C2" s="1931"/>
      <c r="D2" s="1931"/>
      <c r="E2" s="1932"/>
      <c r="F2" s="1930" t="s">
        <v>226</v>
      </c>
      <c r="G2" s="1931"/>
      <c r="H2" s="1931"/>
      <c r="I2" s="1932"/>
      <c r="J2" s="1890" t="s">
        <v>50</v>
      </c>
      <c r="K2" s="1896"/>
      <c r="L2" s="1896"/>
      <c r="M2" s="1879"/>
    </row>
    <row r="3" spans="1:13" ht="12.75">
      <c r="A3" s="1709" t="s">
        <v>13</v>
      </c>
      <c r="B3" s="1327">
        <f aca="true" t="shared" si="0" ref="B3:B9">SUM(C3-D3)/D3</f>
        <v>0.19674681125283322</v>
      </c>
      <c r="C3" s="536">
        <v>26928</v>
      </c>
      <c r="D3" s="536">
        <v>22501</v>
      </c>
      <c r="E3" s="1774">
        <v>21551</v>
      </c>
      <c r="F3" s="1064">
        <f aca="true" t="shared" si="1" ref="F3:F9">SUM(G3-H3)/H3</f>
        <v>0.27661165677818217</v>
      </c>
      <c r="G3" s="1210">
        <v>25605</v>
      </c>
      <c r="H3" s="1210">
        <v>20057</v>
      </c>
      <c r="I3" s="1777">
        <v>20196</v>
      </c>
      <c r="J3" s="143">
        <f aca="true" t="shared" si="2" ref="J3:J9">SUM(K3-M3)/M3</f>
        <v>0.25836587060148036</v>
      </c>
      <c r="K3" s="538">
        <f aca="true" t="shared" si="3" ref="K3:L9">+C3+G3</f>
        <v>52533</v>
      </c>
      <c r="L3" s="538">
        <f t="shared" si="3"/>
        <v>42558</v>
      </c>
      <c r="M3" s="615">
        <f aca="true" t="shared" si="4" ref="M3:M14">+E3+I3</f>
        <v>41747</v>
      </c>
    </row>
    <row r="4" spans="1:13" ht="12.75">
      <c r="A4" s="762" t="s">
        <v>14</v>
      </c>
      <c r="B4" s="1328">
        <f t="shared" si="0"/>
        <v>0.0845766938585739</v>
      </c>
      <c r="C4" s="540">
        <v>25660</v>
      </c>
      <c r="D4" s="540">
        <v>23659</v>
      </c>
      <c r="E4" s="1775">
        <v>19642</v>
      </c>
      <c r="F4" s="1065">
        <f t="shared" si="1"/>
        <v>0.2467154748771437</v>
      </c>
      <c r="G4" s="1071">
        <v>24862</v>
      </c>
      <c r="H4" s="1071">
        <v>19942</v>
      </c>
      <c r="I4" s="1778">
        <v>19459</v>
      </c>
      <c r="J4" s="132">
        <f t="shared" si="2"/>
        <v>0.29208971637554026</v>
      </c>
      <c r="K4" s="542">
        <f t="shared" si="3"/>
        <v>50522</v>
      </c>
      <c r="L4" s="542">
        <f t="shared" si="3"/>
        <v>43601</v>
      </c>
      <c r="M4" s="616">
        <f t="shared" si="4"/>
        <v>39101</v>
      </c>
    </row>
    <row r="5" spans="1:13" ht="12.75">
      <c r="A5" s="762" t="s">
        <v>15</v>
      </c>
      <c r="B5" s="1328">
        <f t="shared" si="0"/>
        <v>0.4025930479490332</v>
      </c>
      <c r="C5" s="540">
        <v>25098</v>
      </c>
      <c r="D5" s="540">
        <v>17894</v>
      </c>
      <c r="E5" s="1775">
        <v>17894</v>
      </c>
      <c r="F5" s="1065">
        <f t="shared" si="1"/>
        <v>0.17187038313798877</v>
      </c>
      <c r="G5" s="1071">
        <v>23796</v>
      </c>
      <c r="H5" s="1071">
        <v>20306</v>
      </c>
      <c r="I5" s="1778">
        <v>20306</v>
      </c>
      <c r="J5" s="132">
        <f t="shared" si="2"/>
        <v>0.2799476439790576</v>
      </c>
      <c r="K5" s="542">
        <f t="shared" si="3"/>
        <v>48894</v>
      </c>
      <c r="L5" s="542">
        <f t="shared" si="3"/>
        <v>38200</v>
      </c>
      <c r="M5" s="616">
        <f t="shared" si="4"/>
        <v>38200</v>
      </c>
    </row>
    <row r="6" spans="1:13" ht="12.75">
      <c r="A6" s="762" t="s">
        <v>16</v>
      </c>
      <c r="B6" s="1328">
        <f t="shared" si="0"/>
        <v>0.19519991331671904</v>
      </c>
      <c r="C6" s="540">
        <v>22061</v>
      </c>
      <c r="D6" s="540">
        <v>18458</v>
      </c>
      <c r="E6" s="1775">
        <v>18458</v>
      </c>
      <c r="F6" s="1065">
        <f t="shared" si="1"/>
        <v>0.19728676576706594</v>
      </c>
      <c r="G6" s="1071">
        <v>24888</v>
      </c>
      <c r="H6" s="1071">
        <v>20787</v>
      </c>
      <c r="I6" s="1778">
        <v>20787</v>
      </c>
      <c r="J6" s="132">
        <f t="shared" si="2"/>
        <v>0.19630526181679195</v>
      </c>
      <c r="K6" s="542">
        <f t="shared" si="3"/>
        <v>46949</v>
      </c>
      <c r="L6" s="542">
        <f t="shared" si="3"/>
        <v>39245</v>
      </c>
      <c r="M6" s="616">
        <f t="shared" si="4"/>
        <v>39245</v>
      </c>
    </row>
    <row r="7" spans="1:13" ht="12.75">
      <c r="A7" s="762" t="s">
        <v>17</v>
      </c>
      <c r="B7" s="1328">
        <f t="shared" si="0"/>
        <v>-0.28444494432572265</v>
      </c>
      <c r="C7" s="540">
        <v>19086</v>
      </c>
      <c r="D7" s="540">
        <v>26673</v>
      </c>
      <c r="E7" s="1775">
        <v>19354</v>
      </c>
      <c r="F7" s="1065">
        <f t="shared" si="1"/>
        <v>-0.46498964388320974</v>
      </c>
      <c r="G7" s="1071">
        <v>16015</v>
      </c>
      <c r="H7" s="1071">
        <v>29934</v>
      </c>
      <c r="I7" s="1778">
        <v>18439</v>
      </c>
      <c r="J7" s="132">
        <f t="shared" si="2"/>
        <v>-0.0712301219802609</v>
      </c>
      <c r="K7" s="542">
        <f t="shared" si="3"/>
        <v>35101</v>
      </c>
      <c r="L7" s="542">
        <f t="shared" si="3"/>
        <v>56607</v>
      </c>
      <c r="M7" s="616">
        <f t="shared" si="4"/>
        <v>37793</v>
      </c>
    </row>
    <row r="8" spans="1:13" ht="12.75">
      <c r="A8" s="762" t="s">
        <v>18</v>
      </c>
      <c r="B8" s="1328">
        <f t="shared" si="0"/>
        <v>-0.16956292785676672</v>
      </c>
      <c r="C8" s="540">
        <v>23655</v>
      </c>
      <c r="D8" s="540">
        <v>28485</v>
      </c>
      <c r="E8" s="1775">
        <v>19971</v>
      </c>
      <c r="F8" s="1065">
        <f t="shared" si="1"/>
        <v>0.10272772772772773</v>
      </c>
      <c r="G8" s="1071">
        <v>26439</v>
      </c>
      <c r="H8" s="1071">
        <v>23976</v>
      </c>
      <c r="I8" s="1778">
        <v>20439</v>
      </c>
      <c r="J8" s="132">
        <f t="shared" si="2"/>
        <v>0.23964365256124723</v>
      </c>
      <c r="K8" s="542">
        <f t="shared" si="3"/>
        <v>50094</v>
      </c>
      <c r="L8" s="542">
        <f t="shared" si="3"/>
        <v>52461</v>
      </c>
      <c r="M8" s="616">
        <f t="shared" si="4"/>
        <v>40410</v>
      </c>
    </row>
    <row r="9" spans="1:13" ht="12.75">
      <c r="A9" s="762" t="s">
        <v>19</v>
      </c>
      <c r="B9" s="1328">
        <f t="shared" si="0"/>
        <v>0.19678974308005764</v>
      </c>
      <c r="C9" s="540">
        <v>24083</v>
      </c>
      <c r="D9" s="540">
        <v>20123</v>
      </c>
      <c r="E9" s="1775">
        <v>20474</v>
      </c>
      <c r="F9" s="1065">
        <f t="shared" si="1"/>
        <v>-0.05183351384805818</v>
      </c>
      <c r="G9" s="1071">
        <v>24512</v>
      </c>
      <c r="H9" s="1071">
        <v>25852</v>
      </c>
      <c r="I9" s="1778">
        <v>20019</v>
      </c>
      <c r="J9" s="132">
        <f t="shared" si="2"/>
        <v>0.20008396512977553</v>
      </c>
      <c r="K9" s="542">
        <f t="shared" si="3"/>
        <v>48595</v>
      </c>
      <c r="L9" s="542">
        <f t="shared" si="3"/>
        <v>45975</v>
      </c>
      <c r="M9" s="616">
        <f>+E9+I9</f>
        <v>40493</v>
      </c>
    </row>
    <row r="10" spans="1:13" ht="12.75">
      <c r="A10" s="762" t="s">
        <v>20</v>
      </c>
      <c r="B10" s="1328"/>
      <c r="C10" s="540"/>
      <c r="D10" s="540">
        <v>14604</v>
      </c>
      <c r="E10" s="1775">
        <v>21978</v>
      </c>
      <c r="F10" s="1065"/>
      <c r="G10" s="1071"/>
      <c r="H10" s="1071">
        <v>15881</v>
      </c>
      <c r="I10" s="1778">
        <v>22861</v>
      </c>
      <c r="J10" s="132"/>
      <c r="K10" s="542"/>
      <c r="L10" s="542">
        <f>+D10+H10</f>
        <v>30485</v>
      </c>
      <c r="M10" s="616">
        <f>+E10+I10</f>
        <v>44839</v>
      </c>
    </row>
    <row r="11" spans="1:13" ht="12.75">
      <c r="A11" s="762" t="s">
        <v>21</v>
      </c>
      <c r="B11" s="1328"/>
      <c r="C11" s="540"/>
      <c r="D11" s="540">
        <v>14062</v>
      </c>
      <c r="E11" s="1775">
        <v>21778</v>
      </c>
      <c r="F11" s="1065"/>
      <c r="G11" s="1071"/>
      <c r="H11" s="1071">
        <v>9792</v>
      </c>
      <c r="I11" s="1778">
        <v>24670</v>
      </c>
      <c r="J11" s="132"/>
      <c r="K11" s="542"/>
      <c r="L11" s="542">
        <f>+D11+H11</f>
        <v>23854</v>
      </c>
      <c r="M11" s="616">
        <f t="shared" si="4"/>
        <v>46448</v>
      </c>
    </row>
    <row r="12" spans="1:13" ht="12.75">
      <c r="A12" s="762" t="s">
        <v>22</v>
      </c>
      <c r="B12" s="1328"/>
      <c r="C12" s="540"/>
      <c r="D12" s="540">
        <v>25932</v>
      </c>
      <c r="E12" s="1775">
        <v>20870</v>
      </c>
      <c r="F12" s="1065"/>
      <c r="G12" s="1071"/>
      <c r="H12" s="1071">
        <v>27668</v>
      </c>
      <c r="I12" s="1778">
        <v>21949</v>
      </c>
      <c r="J12" s="132"/>
      <c r="K12" s="542"/>
      <c r="L12" s="542">
        <f>+D12+H12</f>
        <v>53600</v>
      </c>
      <c r="M12" s="616">
        <f t="shared" si="4"/>
        <v>42819</v>
      </c>
    </row>
    <row r="13" spans="1:13" ht="12.75">
      <c r="A13" s="762" t="s">
        <v>23</v>
      </c>
      <c r="B13" s="1328"/>
      <c r="C13" s="540"/>
      <c r="D13" s="540">
        <v>28071</v>
      </c>
      <c r="E13" s="1775">
        <v>19055</v>
      </c>
      <c r="F13" s="1065"/>
      <c r="G13" s="1071"/>
      <c r="H13" s="1071">
        <v>26031</v>
      </c>
      <c r="I13" s="1778">
        <v>20008</v>
      </c>
      <c r="J13" s="132"/>
      <c r="K13" s="542"/>
      <c r="L13" s="542">
        <f>+D13+H13</f>
        <v>54102</v>
      </c>
      <c r="M13" s="616">
        <f t="shared" si="4"/>
        <v>39063</v>
      </c>
    </row>
    <row r="14" spans="1:13" ht="13.5" thickBot="1">
      <c r="A14" s="771" t="s">
        <v>24</v>
      </c>
      <c r="B14" s="1329"/>
      <c r="C14" s="1700"/>
      <c r="D14" s="1700">
        <v>20262</v>
      </c>
      <c r="E14" s="1776">
        <v>22694</v>
      </c>
      <c r="F14" s="1066"/>
      <c r="G14" s="1211"/>
      <c r="H14" s="1071">
        <v>25468</v>
      </c>
      <c r="I14" s="1778">
        <v>20935</v>
      </c>
      <c r="J14" s="516"/>
      <c r="K14" s="1602"/>
      <c r="L14" s="1602">
        <f>+D14+H14</f>
        <v>45730</v>
      </c>
      <c r="M14" s="1706">
        <f t="shared" si="4"/>
        <v>43629</v>
      </c>
    </row>
    <row r="15" spans="1:13" ht="12.75">
      <c r="A15" s="638" t="s">
        <v>25</v>
      </c>
      <c r="B15" s="588">
        <f>SUM(C15-D15)/D15</f>
        <v>0.05562984416292231</v>
      </c>
      <c r="C15" s="332">
        <f>SUM(C3:C9)</f>
        <v>166571</v>
      </c>
      <c r="D15" s="332">
        <f>SUM(D3:D9)</f>
        <v>157793</v>
      </c>
      <c r="E15" s="800">
        <f>SUM(E3:E9)</f>
        <v>137344</v>
      </c>
      <c r="F15" s="396">
        <f>SUM(G15-H15)/H15</f>
        <v>0.032719111741081976</v>
      </c>
      <c r="G15" s="332">
        <f>SUM(G3:G9)</f>
        <v>166117</v>
      </c>
      <c r="H15" s="332">
        <f>SUM(H3:H9)</f>
        <v>160854</v>
      </c>
      <c r="I15" s="589">
        <f>SUM(I3:I9)</f>
        <v>139645</v>
      </c>
      <c r="J15" s="588">
        <f>SUM(K15-M15)/M15</f>
        <v>-0.32625200744450544</v>
      </c>
      <c r="K15" s="1404">
        <f>+C15+G15</f>
        <v>332688</v>
      </c>
      <c r="L15" s="332">
        <f>SUM(L3:L14)</f>
        <v>526418</v>
      </c>
      <c r="M15" s="589">
        <f>SUM(M3:M14)</f>
        <v>493787</v>
      </c>
    </row>
    <row r="16" spans="1:13" ht="13.5" thickBot="1">
      <c r="A16" s="548" t="s">
        <v>26</v>
      </c>
      <c r="B16" s="313">
        <f>SUM(C16-D16)/D16</f>
        <v>0.09522056164482631</v>
      </c>
      <c r="C16" s="102">
        <f>AVERAGE(C3:C14)</f>
        <v>23795.85714285714</v>
      </c>
      <c r="D16" s="102">
        <f>AVERAGE(D3:D14)</f>
        <v>21727</v>
      </c>
      <c r="E16" s="356">
        <f>AVERAGE(E3:E14)</f>
        <v>20309.916666666668</v>
      </c>
      <c r="F16" s="313">
        <f>SUM(G16-H16)/H16</f>
        <v>0.07180440657297486</v>
      </c>
      <c r="G16" s="102">
        <f>AVERAGE(G3:G14)</f>
        <v>23731</v>
      </c>
      <c r="H16" s="102">
        <f>AVERAGE(H3:H14)</f>
        <v>22141.166666666668</v>
      </c>
      <c r="I16" s="312">
        <f>AVERAGE(I3:I14)</f>
        <v>20839</v>
      </c>
      <c r="J16" s="313">
        <f>SUM(K16-M16)/M16</f>
        <v>0.15499655866656226</v>
      </c>
      <c r="K16" s="102">
        <f>AVERAGE(K3:K14)</f>
        <v>47526.857142857145</v>
      </c>
      <c r="L16" s="102">
        <f>AVERAGE(L3:L14)</f>
        <v>43868.166666666664</v>
      </c>
      <c r="M16" s="312">
        <f>AVERAGE(M3:M14)</f>
        <v>41148.916666666664</v>
      </c>
    </row>
    <row r="18" s="1" customFormat="1" ht="11.25"/>
    <row r="19" s="1" customFormat="1" ht="11.25"/>
    <row r="20" s="1" customFormat="1" ht="11.25"/>
    <row r="21" s="1" customFormat="1" ht="11.25"/>
    <row r="22" s="1" customFormat="1" ht="11.25"/>
  </sheetData>
  <mergeCells count="4">
    <mergeCell ref="J2:M2"/>
    <mergeCell ref="B2:E2"/>
    <mergeCell ref="F2:I2"/>
    <mergeCell ref="A1:A2"/>
  </mergeCells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U17"/>
  <sheetViews>
    <sheetView workbookViewId="0" topLeftCell="A1">
      <pane xSplit="1" ySplit="3" topLeftCell="P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0" sqref="S10:T10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5" width="6.57421875" style="0" bestFit="1" customWidth="1"/>
    <col min="6" max="6" width="5.7109375" style="0" bestFit="1" customWidth="1"/>
    <col min="7" max="17" width="6.57421875" style="0" bestFit="1" customWidth="1"/>
    <col min="18" max="18" width="5.8515625" style="0" customWidth="1"/>
    <col min="19" max="20" width="6.57421875" style="0" bestFit="1" customWidth="1"/>
    <col min="21" max="29" width="5.7109375" style="0" bestFit="1" customWidth="1"/>
    <col min="30" max="33" width="5.7109375" style="0" customWidth="1"/>
    <col min="34" max="34" width="5.8515625" style="0" customWidth="1"/>
    <col min="35" max="38" width="7.7109375" style="0" customWidth="1"/>
    <col min="39" max="47" width="7.7109375" style="0" bestFit="1" customWidth="1"/>
  </cols>
  <sheetData>
    <row r="1" spans="1:47" s="11" customFormat="1" ht="13.5" thickBot="1">
      <c r="A1" s="1938" t="s">
        <v>77</v>
      </c>
      <c r="B1" s="2073" t="s">
        <v>178</v>
      </c>
      <c r="C1" s="2074"/>
      <c r="D1" s="2074"/>
      <c r="E1" s="2074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2076"/>
      <c r="R1" s="2077" t="s">
        <v>184</v>
      </c>
      <c r="S1" s="2078"/>
      <c r="T1" s="2078"/>
      <c r="U1" s="2078"/>
      <c r="V1" s="2079"/>
      <c r="W1" s="2079"/>
      <c r="X1" s="2079"/>
      <c r="Y1" s="2079"/>
      <c r="Z1" s="2079"/>
      <c r="AA1" s="2079"/>
      <c r="AB1" s="2079"/>
      <c r="AC1" s="2079"/>
      <c r="AD1" s="2079"/>
      <c r="AE1" s="2079"/>
      <c r="AF1" s="2079"/>
      <c r="AG1" s="2080"/>
      <c r="AH1" s="2073" t="s">
        <v>43</v>
      </c>
      <c r="AI1" s="2074"/>
      <c r="AJ1" s="2074"/>
      <c r="AK1" s="2074"/>
      <c r="AL1" s="2075"/>
      <c r="AM1" s="2075"/>
      <c r="AN1" s="2075"/>
      <c r="AO1" s="2075"/>
      <c r="AP1" s="2075"/>
      <c r="AQ1" s="2075"/>
      <c r="AR1" s="2075"/>
      <c r="AS1" s="2075"/>
      <c r="AT1" s="2075"/>
      <c r="AU1" s="2076"/>
    </row>
    <row r="2" spans="1:47" s="11" customFormat="1" ht="13.5" thickBot="1">
      <c r="A2" s="2071"/>
      <c r="B2" s="592" t="s">
        <v>44</v>
      </c>
      <c r="C2" s="593">
        <v>2008</v>
      </c>
      <c r="D2" s="593">
        <v>2007</v>
      </c>
      <c r="E2" s="593">
        <v>2006</v>
      </c>
      <c r="F2" s="593">
        <v>2005</v>
      </c>
      <c r="G2" s="593">
        <v>2004</v>
      </c>
      <c r="H2" s="593" t="s">
        <v>5</v>
      </c>
      <c r="I2" s="593">
        <v>2002</v>
      </c>
      <c r="J2" s="593">
        <v>2001</v>
      </c>
      <c r="K2" s="593">
        <v>2000</v>
      </c>
      <c r="L2" s="593">
        <v>1999</v>
      </c>
      <c r="M2" s="593">
        <v>1998</v>
      </c>
      <c r="N2" s="593">
        <v>1997</v>
      </c>
      <c r="O2" s="593">
        <v>1996</v>
      </c>
      <c r="P2" s="593" t="s">
        <v>12</v>
      </c>
      <c r="Q2" s="596" t="s">
        <v>27</v>
      </c>
      <c r="R2" s="601" t="s">
        <v>44</v>
      </c>
      <c r="S2" s="593">
        <v>2007</v>
      </c>
      <c r="T2" s="593">
        <v>2007</v>
      </c>
      <c r="U2" s="593">
        <v>2006</v>
      </c>
      <c r="V2" s="593">
        <v>2005</v>
      </c>
      <c r="W2" s="593">
        <v>2004</v>
      </c>
      <c r="X2" s="593" t="s">
        <v>5</v>
      </c>
      <c r="Y2" s="593" t="s">
        <v>6</v>
      </c>
      <c r="Z2" s="593">
        <v>2001</v>
      </c>
      <c r="AA2" s="593">
        <v>2000</v>
      </c>
      <c r="AB2" s="594">
        <v>1999</v>
      </c>
      <c r="AC2" s="592">
        <v>1998</v>
      </c>
      <c r="AD2" s="593">
        <v>1997</v>
      </c>
      <c r="AE2" s="593">
        <v>1996</v>
      </c>
      <c r="AF2" s="593" t="s">
        <v>12</v>
      </c>
      <c r="AG2" s="594" t="s">
        <v>45</v>
      </c>
      <c r="AH2" s="595" t="s">
        <v>44</v>
      </c>
      <c r="AI2" s="592">
        <v>2007</v>
      </c>
      <c r="AJ2" s="592">
        <v>2007</v>
      </c>
      <c r="AK2" s="592">
        <v>2006</v>
      </c>
      <c r="AL2" s="592">
        <v>2005</v>
      </c>
      <c r="AM2" s="593">
        <v>2004</v>
      </c>
      <c r="AN2" s="593" t="s">
        <v>5</v>
      </c>
      <c r="AO2" s="593" t="s">
        <v>6</v>
      </c>
      <c r="AP2" s="593">
        <v>2001</v>
      </c>
      <c r="AQ2" s="593">
        <v>2000</v>
      </c>
      <c r="AR2" s="593">
        <v>1999</v>
      </c>
      <c r="AS2" s="593">
        <v>1998</v>
      </c>
      <c r="AT2" s="593">
        <v>1997</v>
      </c>
      <c r="AU2" s="596">
        <v>1996</v>
      </c>
    </row>
    <row r="3" spans="1:47" s="11" customFormat="1" ht="1.5" customHeight="1" thickBot="1">
      <c r="A3" s="2072"/>
      <c r="B3" s="597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9"/>
      <c r="R3" s="600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/>
      <c r="AH3" s="403"/>
      <c r="AI3" s="404"/>
      <c r="AJ3" s="404"/>
      <c r="AK3" s="404"/>
      <c r="AL3" s="404"/>
      <c r="AM3" s="405"/>
      <c r="AN3" s="405"/>
      <c r="AO3" s="405"/>
      <c r="AP3" s="405"/>
      <c r="AQ3" s="405"/>
      <c r="AR3" s="405"/>
      <c r="AS3" s="405"/>
      <c r="AT3" s="405"/>
      <c r="AU3" s="406"/>
    </row>
    <row r="4" spans="1:47" s="11" customFormat="1" ht="12.75">
      <c r="A4" s="69" t="s">
        <v>13</v>
      </c>
      <c r="B4" s="72">
        <f aca="true" t="shared" si="0" ref="B4:B10">SUM(C4-D4)/D4</f>
        <v>0.08394842152067586</v>
      </c>
      <c r="C4" s="31">
        <v>12189</v>
      </c>
      <c r="D4" s="31">
        <v>11245</v>
      </c>
      <c r="E4" s="31">
        <v>7772</v>
      </c>
      <c r="F4" s="31">
        <v>7297</v>
      </c>
      <c r="G4" s="31">
        <v>16578</v>
      </c>
      <c r="H4" s="31">
        <v>20127</v>
      </c>
      <c r="I4" s="31">
        <v>12033</v>
      </c>
      <c r="J4" s="31">
        <v>18062</v>
      </c>
      <c r="K4" s="31">
        <v>21229</v>
      </c>
      <c r="L4" s="31">
        <v>16796</v>
      </c>
      <c r="M4" s="31">
        <v>14754</v>
      </c>
      <c r="N4" s="31">
        <v>16376</v>
      </c>
      <c r="O4" s="31">
        <v>16929</v>
      </c>
      <c r="P4" s="31">
        <v>16474</v>
      </c>
      <c r="Q4" s="40">
        <v>15578</v>
      </c>
      <c r="R4" s="71">
        <f aca="true" t="shared" si="1" ref="R4:R10">SUM(S4-T4)/T4</f>
        <v>0.1324033844042991</v>
      </c>
      <c r="S4" s="33">
        <v>9904</v>
      </c>
      <c r="T4" s="33">
        <v>8746</v>
      </c>
      <c r="U4" s="33">
        <v>6645</v>
      </c>
      <c r="V4" s="33">
        <v>5480</v>
      </c>
      <c r="W4" s="33">
        <v>5776</v>
      </c>
      <c r="X4" s="33">
        <v>3724</v>
      </c>
      <c r="Y4" s="33">
        <v>3609</v>
      </c>
      <c r="Z4" s="33">
        <v>6408</v>
      </c>
      <c r="AA4" s="33">
        <v>7849</v>
      </c>
      <c r="AB4" s="33">
        <v>7066</v>
      </c>
      <c r="AC4" s="33">
        <v>7893</v>
      </c>
      <c r="AD4" s="33">
        <v>12466</v>
      </c>
      <c r="AE4" s="33">
        <v>9581</v>
      </c>
      <c r="AF4" s="33">
        <v>9044</v>
      </c>
      <c r="AG4" s="73">
        <v>5761</v>
      </c>
      <c r="AH4" s="407">
        <f aca="true" t="shared" si="2" ref="AH4:AH10">SUM(AI4-AJ4)/AJ4</f>
        <v>0.10514731629233155</v>
      </c>
      <c r="AI4" s="96">
        <f aca="true" t="shared" si="3" ref="AI4:AI10">+C4+S4</f>
        <v>22093</v>
      </c>
      <c r="AJ4" s="96">
        <f aca="true" t="shared" si="4" ref="AI4:AJ16">+D4+T4</f>
        <v>19991</v>
      </c>
      <c r="AK4" s="96">
        <f aca="true" t="shared" si="5" ref="AK4:AK16">+E4+U4</f>
        <v>14417</v>
      </c>
      <c r="AL4" s="96">
        <f aca="true" t="shared" si="6" ref="AL4:AL16">+F4+V4</f>
        <v>12777</v>
      </c>
      <c r="AM4" s="96">
        <f aca="true" t="shared" si="7" ref="AM4:AM16">+G4+W4</f>
        <v>22354</v>
      </c>
      <c r="AN4" s="96">
        <f aca="true" t="shared" si="8" ref="AN4:AN16">+H4+X4</f>
        <v>23851</v>
      </c>
      <c r="AO4" s="96">
        <f aca="true" t="shared" si="9" ref="AO4:AO16">+I4+Y4</f>
        <v>15642</v>
      </c>
      <c r="AP4" s="96">
        <f aca="true" t="shared" si="10" ref="AP4:AP16">+J4+Z4</f>
        <v>24470</v>
      </c>
      <c r="AQ4" s="96">
        <f aca="true" t="shared" si="11" ref="AQ4:AQ16">+K4+AA4</f>
        <v>29078</v>
      </c>
      <c r="AR4" s="96">
        <f aca="true" t="shared" si="12" ref="AR4:AR16">+L4+AB4</f>
        <v>23862</v>
      </c>
      <c r="AS4" s="96">
        <f aca="true" t="shared" si="13" ref="AS4:AS16">+M4+AC4</f>
        <v>22647</v>
      </c>
      <c r="AT4" s="96">
        <f aca="true" t="shared" si="14" ref="AT4:AT16">+N4+AD4</f>
        <v>28842</v>
      </c>
      <c r="AU4" s="238">
        <f aca="true" t="shared" si="15" ref="AU4:AU16">+O4+AE4</f>
        <v>26510</v>
      </c>
    </row>
    <row r="5" spans="1:47" s="11" customFormat="1" ht="12.75">
      <c r="A5" s="70" t="s">
        <v>14</v>
      </c>
      <c r="B5" s="72">
        <f t="shared" si="0"/>
        <v>-0.04391478246673741</v>
      </c>
      <c r="C5" s="31">
        <v>11713</v>
      </c>
      <c r="D5" s="31">
        <v>12251</v>
      </c>
      <c r="E5" s="31">
        <v>7831</v>
      </c>
      <c r="F5" s="31">
        <v>7106</v>
      </c>
      <c r="G5" s="31">
        <v>16585</v>
      </c>
      <c r="H5" s="31">
        <v>19131</v>
      </c>
      <c r="I5" s="31">
        <v>13751</v>
      </c>
      <c r="J5" s="31">
        <v>16306</v>
      </c>
      <c r="K5" s="31">
        <v>15365</v>
      </c>
      <c r="L5" s="31">
        <v>15401</v>
      </c>
      <c r="M5" s="31">
        <v>14109</v>
      </c>
      <c r="N5" s="31">
        <v>15452</v>
      </c>
      <c r="O5" s="31">
        <v>8838</v>
      </c>
      <c r="P5" s="31">
        <v>18783</v>
      </c>
      <c r="Q5" s="40">
        <v>13808</v>
      </c>
      <c r="R5" s="71">
        <f t="shared" si="1"/>
        <v>-0.019574826352346874</v>
      </c>
      <c r="S5" s="33">
        <v>9316</v>
      </c>
      <c r="T5" s="33">
        <v>9502</v>
      </c>
      <c r="U5" s="33">
        <v>4573</v>
      </c>
      <c r="V5" s="33">
        <v>5094</v>
      </c>
      <c r="W5" s="33">
        <v>5662</v>
      </c>
      <c r="X5" s="33">
        <v>4059</v>
      </c>
      <c r="Y5" s="33">
        <v>3554</v>
      </c>
      <c r="Z5" s="33">
        <v>4758</v>
      </c>
      <c r="AA5" s="33">
        <v>6261</v>
      </c>
      <c r="AB5" s="33">
        <v>7192</v>
      </c>
      <c r="AC5" s="33">
        <v>6421</v>
      </c>
      <c r="AD5" s="33">
        <v>7360</v>
      </c>
      <c r="AE5" s="33">
        <v>3793</v>
      </c>
      <c r="AF5" s="33">
        <v>8387</v>
      </c>
      <c r="AG5" s="73">
        <v>6026</v>
      </c>
      <c r="AH5" s="72">
        <f t="shared" si="2"/>
        <v>-0.03328276559555004</v>
      </c>
      <c r="AI5" s="31">
        <f t="shared" si="3"/>
        <v>21029</v>
      </c>
      <c r="AJ5" s="31">
        <f t="shared" si="4"/>
        <v>21753</v>
      </c>
      <c r="AK5" s="31">
        <f t="shared" si="5"/>
        <v>12404</v>
      </c>
      <c r="AL5" s="31">
        <f t="shared" si="6"/>
        <v>12200</v>
      </c>
      <c r="AM5" s="31">
        <f t="shared" si="7"/>
        <v>22247</v>
      </c>
      <c r="AN5" s="31">
        <f t="shared" si="8"/>
        <v>23190</v>
      </c>
      <c r="AO5" s="31">
        <f t="shared" si="9"/>
        <v>17305</v>
      </c>
      <c r="AP5" s="31">
        <f t="shared" si="10"/>
        <v>21064</v>
      </c>
      <c r="AQ5" s="31">
        <f t="shared" si="11"/>
        <v>21626</v>
      </c>
      <c r="AR5" s="31">
        <f t="shared" si="12"/>
        <v>22593</v>
      </c>
      <c r="AS5" s="31">
        <f t="shared" si="13"/>
        <v>20530</v>
      </c>
      <c r="AT5" s="31">
        <f t="shared" si="14"/>
        <v>22812</v>
      </c>
      <c r="AU5" s="40">
        <f t="shared" si="15"/>
        <v>12631</v>
      </c>
    </row>
    <row r="6" spans="1:47" s="11" customFormat="1" ht="12.75">
      <c r="A6" s="70" t="s">
        <v>15</v>
      </c>
      <c r="B6" s="72">
        <f t="shared" si="0"/>
        <v>0.43263439660941333</v>
      </c>
      <c r="C6" s="31">
        <v>12845</v>
      </c>
      <c r="D6" s="31">
        <v>8966</v>
      </c>
      <c r="E6" s="31">
        <v>6201</v>
      </c>
      <c r="F6" s="31">
        <v>7444</v>
      </c>
      <c r="G6" s="31">
        <v>21960</v>
      </c>
      <c r="H6" s="31">
        <v>17654</v>
      </c>
      <c r="I6" s="31">
        <v>17755</v>
      </c>
      <c r="J6" s="31">
        <v>17203</v>
      </c>
      <c r="K6" s="31">
        <v>16272</v>
      </c>
      <c r="L6" s="31">
        <v>17444</v>
      </c>
      <c r="M6" s="31">
        <v>14911</v>
      </c>
      <c r="N6" s="31">
        <v>14714</v>
      </c>
      <c r="O6" s="31">
        <v>21112</v>
      </c>
      <c r="P6" s="31">
        <v>19542</v>
      </c>
      <c r="Q6" s="40">
        <v>15717</v>
      </c>
      <c r="R6" s="71">
        <f t="shared" si="1"/>
        <v>0.2847008432606077</v>
      </c>
      <c r="S6" s="33">
        <v>9598</v>
      </c>
      <c r="T6" s="33">
        <v>7471</v>
      </c>
      <c r="U6" s="33">
        <v>5794</v>
      </c>
      <c r="V6" s="33">
        <v>3680</v>
      </c>
      <c r="W6" s="33">
        <v>6752</v>
      </c>
      <c r="X6" s="33">
        <v>5173</v>
      </c>
      <c r="Y6" s="33">
        <v>5108</v>
      </c>
      <c r="Z6" s="33">
        <v>5878</v>
      </c>
      <c r="AA6" s="33">
        <v>5366</v>
      </c>
      <c r="AB6" s="33">
        <v>7001</v>
      </c>
      <c r="AC6" s="33">
        <v>6268</v>
      </c>
      <c r="AD6" s="33">
        <v>8555</v>
      </c>
      <c r="AE6" s="33">
        <v>10295</v>
      </c>
      <c r="AF6" s="33">
        <v>8947</v>
      </c>
      <c r="AG6" s="73">
        <v>6486</v>
      </c>
      <c r="AH6" s="72">
        <f t="shared" si="2"/>
        <v>0.3653951450994707</v>
      </c>
      <c r="AI6" s="31">
        <f t="shared" si="3"/>
        <v>22443</v>
      </c>
      <c r="AJ6" s="31">
        <f t="shared" si="4"/>
        <v>16437</v>
      </c>
      <c r="AK6" s="31">
        <f t="shared" si="5"/>
        <v>11995</v>
      </c>
      <c r="AL6" s="31">
        <f t="shared" si="6"/>
        <v>11124</v>
      </c>
      <c r="AM6" s="31">
        <f t="shared" si="7"/>
        <v>28712</v>
      </c>
      <c r="AN6" s="31">
        <f t="shared" si="8"/>
        <v>22827</v>
      </c>
      <c r="AO6" s="31">
        <f t="shared" si="9"/>
        <v>22863</v>
      </c>
      <c r="AP6" s="31">
        <f t="shared" si="10"/>
        <v>23081</v>
      </c>
      <c r="AQ6" s="31">
        <f t="shared" si="11"/>
        <v>21638</v>
      </c>
      <c r="AR6" s="31">
        <f t="shared" si="12"/>
        <v>24445</v>
      </c>
      <c r="AS6" s="31">
        <f t="shared" si="13"/>
        <v>21179</v>
      </c>
      <c r="AT6" s="31">
        <f t="shared" si="14"/>
        <v>23269</v>
      </c>
      <c r="AU6" s="40">
        <f t="shared" si="15"/>
        <v>31407</v>
      </c>
    </row>
    <row r="7" spans="1:47" s="11" customFormat="1" ht="12.75">
      <c r="A7" s="70" t="s">
        <v>16</v>
      </c>
      <c r="B7" s="72">
        <f t="shared" si="0"/>
        <v>-0.3077039503556834</v>
      </c>
      <c r="C7" s="31">
        <v>9148</v>
      </c>
      <c r="D7" s="31">
        <v>13214</v>
      </c>
      <c r="E7" s="31">
        <v>6574</v>
      </c>
      <c r="F7" s="31">
        <v>8180</v>
      </c>
      <c r="G7" s="31">
        <v>19071</v>
      </c>
      <c r="H7" s="31">
        <v>20729</v>
      </c>
      <c r="I7" s="31">
        <v>15243</v>
      </c>
      <c r="J7" s="31">
        <v>18162</v>
      </c>
      <c r="K7" s="31">
        <v>17996</v>
      </c>
      <c r="L7" s="31">
        <v>14087</v>
      </c>
      <c r="M7" s="31">
        <v>15225</v>
      </c>
      <c r="N7" s="31">
        <v>14264</v>
      </c>
      <c r="O7" s="31">
        <v>14779</v>
      </c>
      <c r="P7" s="31">
        <v>16806</v>
      </c>
      <c r="Q7" s="40">
        <v>16762</v>
      </c>
      <c r="R7" s="71">
        <f t="shared" si="1"/>
        <v>0.024881379469968753</v>
      </c>
      <c r="S7" s="33">
        <v>8856</v>
      </c>
      <c r="T7" s="33">
        <v>8641</v>
      </c>
      <c r="U7" s="33">
        <v>5299</v>
      </c>
      <c r="V7" s="33">
        <v>4673</v>
      </c>
      <c r="W7" s="33">
        <v>6210</v>
      </c>
      <c r="X7" s="33">
        <v>6447</v>
      </c>
      <c r="Y7" s="33">
        <v>4434</v>
      </c>
      <c r="Z7" s="33">
        <v>4274</v>
      </c>
      <c r="AA7" s="33">
        <v>6318</v>
      </c>
      <c r="AB7" s="33">
        <v>6627</v>
      </c>
      <c r="AC7" s="33">
        <v>4673</v>
      </c>
      <c r="AD7" s="33">
        <v>9230</v>
      </c>
      <c r="AE7" s="33">
        <v>8258</v>
      </c>
      <c r="AF7" s="33">
        <v>8013</v>
      </c>
      <c r="AG7" s="73">
        <v>7293</v>
      </c>
      <c r="AH7" s="72">
        <f t="shared" si="2"/>
        <v>-0.17620681766186228</v>
      </c>
      <c r="AI7" s="31">
        <f t="shared" si="3"/>
        <v>18004</v>
      </c>
      <c r="AJ7" s="31">
        <f t="shared" si="4"/>
        <v>21855</v>
      </c>
      <c r="AK7" s="31">
        <f t="shared" si="5"/>
        <v>11873</v>
      </c>
      <c r="AL7" s="31">
        <f t="shared" si="6"/>
        <v>12853</v>
      </c>
      <c r="AM7" s="31">
        <f t="shared" si="7"/>
        <v>25281</v>
      </c>
      <c r="AN7" s="31">
        <f t="shared" si="8"/>
        <v>27176</v>
      </c>
      <c r="AO7" s="31">
        <f t="shared" si="9"/>
        <v>19677</v>
      </c>
      <c r="AP7" s="31">
        <f t="shared" si="10"/>
        <v>22436</v>
      </c>
      <c r="AQ7" s="31">
        <f t="shared" si="11"/>
        <v>24314</v>
      </c>
      <c r="AR7" s="31">
        <f t="shared" si="12"/>
        <v>20714</v>
      </c>
      <c r="AS7" s="31">
        <f t="shared" si="13"/>
        <v>19898</v>
      </c>
      <c r="AT7" s="31">
        <f t="shared" si="14"/>
        <v>23494</v>
      </c>
      <c r="AU7" s="40">
        <f t="shared" si="15"/>
        <v>23037</v>
      </c>
    </row>
    <row r="8" spans="1:47" s="11" customFormat="1" ht="12.75">
      <c r="A8" s="70" t="s">
        <v>17</v>
      </c>
      <c r="B8" s="72">
        <f t="shared" si="0"/>
        <v>-0.05907520157972684</v>
      </c>
      <c r="C8" s="31">
        <v>11436</v>
      </c>
      <c r="D8" s="31">
        <v>12154</v>
      </c>
      <c r="E8" s="31">
        <v>11597</v>
      </c>
      <c r="F8" s="31">
        <v>8051</v>
      </c>
      <c r="G8" s="31">
        <v>18017</v>
      </c>
      <c r="H8" s="31">
        <v>27422</v>
      </c>
      <c r="I8" s="31">
        <v>16017</v>
      </c>
      <c r="J8" s="31">
        <v>20799</v>
      </c>
      <c r="K8" s="31">
        <v>19659</v>
      </c>
      <c r="L8" s="31">
        <v>18797</v>
      </c>
      <c r="M8" s="31">
        <v>14263</v>
      </c>
      <c r="N8" s="31">
        <v>14988</v>
      </c>
      <c r="O8" s="31">
        <v>17865</v>
      </c>
      <c r="P8" s="31">
        <v>16802</v>
      </c>
      <c r="Q8" s="40">
        <v>19545</v>
      </c>
      <c r="R8" s="71">
        <f t="shared" si="1"/>
        <v>0.13015238571071697</v>
      </c>
      <c r="S8" s="33">
        <v>9048</v>
      </c>
      <c r="T8" s="33">
        <v>8006</v>
      </c>
      <c r="U8" s="33">
        <v>7614</v>
      </c>
      <c r="V8" s="33">
        <v>4767</v>
      </c>
      <c r="W8" s="33">
        <v>5238</v>
      </c>
      <c r="X8" s="33">
        <v>10141</v>
      </c>
      <c r="Y8" s="33">
        <v>4472</v>
      </c>
      <c r="Z8" s="33">
        <v>4713</v>
      </c>
      <c r="AA8" s="33">
        <v>5152</v>
      </c>
      <c r="AB8" s="33">
        <v>8354</v>
      </c>
      <c r="AC8" s="33">
        <v>6759</v>
      </c>
      <c r="AD8" s="33">
        <v>8266</v>
      </c>
      <c r="AE8" s="33">
        <v>10278</v>
      </c>
      <c r="AF8" s="33">
        <v>7673</v>
      </c>
      <c r="AG8" s="73">
        <v>6680</v>
      </c>
      <c r="AH8" s="72">
        <f t="shared" si="2"/>
        <v>0.01607142857142857</v>
      </c>
      <c r="AI8" s="31">
        <f t="shared" si="3"/>
        <v>20484</v>
      </c>
      <c r="AJ8" s="31">
        <f t="shared" si="4"/>
        <v>20160</v>
      </c>
      <c r="AK8" s="31">
        <f t="shared" si="5"/>
        <v>19211</v>
      </c>
      <c r="AL8" s="31">
        <f t="shared" si="6"/>
        <v>12818</v>
      </c>
      <c r="AM8" s="31">
        <f t="shared" si="7"/>
        <v>23255</v>
      </c>
      <c r="AN8" s="31">
        <f t="shared" si="8"/>
        <v>37563</v>
      </c>
      <c r="AO8" s="31">
        <f t="shared" si="9"/>
        <v>20489</v>
      </c>
      <c r="AP8" s="31">
        <f t="shared" si="10"/>
        <v>25512</v>
      </c>
      <c r="AQ8" s="31">
        <f t="shared" si="11"/>
        <v>24811</v>
      </c>
      <c r="AR8" s="31">
        <f t="shared" si="12"/>
        <v>27151</v>
      </c>
      <c r="AS8" s="31">
        <f t="shared" si="13"/>
        <v>21022</v>
      </c>
      <c r="AT8" s="31">
        <f t="shared" si="14"/>
        <v>23254</v>
      </c>
      <c r="AU8" s="40">
        <f t="shared" si="15"/>
        <v>28143</v>
      </c>
    </row>
    <row r="9" spans="1:47" s="11" customFormat="1" ht="12.75">
      <c r="A9" s="70" t="s">
        <v>18</v>
      </c>
      <c r="B9" s="72">
        <f t="shared" si="0"/>
        <v>-0.20431499460625674</v>
      </c>
      <c r="C9" s="31">
        <v>11064</v>
      </c>
      <c r="D9" s="31">
        <v>13905</v>
      </c>
      <c r="E9" s="31">
        <v>9622</v>
      </c>
      <c r="F9" s="31">
        <v>6660</v>
      </c>
      <c r="G9" s="31">
        <v>21721</v>
      </c>
      <c r="H9" s="31">
        <v>23937</v>
      </c>
      <c r="I9" s="31">
        <v>14825</v>
      </c>
      <c r="J9" s="31">
        <v>16973</v>
      </c>
      <c r="K9" s="31">
        <v>17330</v>
      </c>
      <c r="L9" s="31">
        <v>15674</v>
      </c>
      <c r="M9" s="31">
        <v>15869</v>
      </c>
      <c r="N9" s="31">
        <v>14770</v>
      </c>
      <c r="O9" s="31">
        <v>16155</v>
      </c>
      <c r="P9" s="31">
        <v>19677</v>
      </c>
      <c r="Q9" s="40">
        <v>19033</v>
      </c>
      <c r="R9" s="71">
        <f t="shared" si="1"/>
        <v>-0.014494407669481853</v>
      </c>
      <c r="S9" s="33">
        <v>8635</v>
      </c>
      <c r="T9" s="33">
        <v>8762</v>
      </c>
      <c r="U9" s="33">
        <v>7728</v>
      </c>
      <c r="V9" s="33">
        <v>3948</v>
      </c>
      <c r="W9" s="33">
        <v>7278</v>
      </c>
      <c r="X9" s="33">
        <v>5631</v>
      </c>
      <c r="Y9" s="33">
        <v>4931</v>
      </c>
      <c r="Z9" s="33">
        <v>4108</v>
      </c>
      <c r="AA9" s="33">
        <v>5586</v>
      </c>
      <c r="AB9" s="33">
        <v>8100</v>
      </c>
      <c r="AC9" s="33">
        <v>6839</v>
      </c>
      <c r="AD9" s="33">
        <v>7602</v>
      </c>
      <c r="AE9" s="33">
        <v>8379</v>
      </c>
      <c r="AF9" s="33">
        <v>8966</v>
      </c>
      <c r="AG9" s="73">
        <v>10692</v>
      </c>
      <c r="AH9" s="72">
        <f t="shared" si="2"/>
        <v>-0.13093925089336922</v>
      </c>
      <c r="AI9" s="92">
        <f t="shared" si="3"/>
        <v>19699</v>
      </c>
      <c r="AJ9" s="31">
        <f t="shared" si="4"/>
        <v>22667</v>
      </c>
      <c r="AK9" s="31">
        <f t="shared" si="5"/>
        <v>17350</v>
      </c>
      <c r="AL9" s="31">
        <f t="shared" si="6"/>
        <v>10608</v>
      </c>
      <c r="AM9" s="31">
        <f t="shared" si="7"/>
        <v>28999</v>
      </c>
      <c r="AN9" s="31">
        <f t="shared" si="8"/>
        <v>29568</v>
      </c>
      <c r="AO9" s="31">
        <f t="shared" si="9"/>
        <v>19756</v>
      </c>
      <c r="AP9" s="31">
        <f t="shared" si="10"/>
        <v>21081</v>
      </c>
      <c r="AQ9" s="31">
        <f t="shared" si="11"/>
        <v>22916</v>
      </c>
      <c r="AR9" s="31">
        <f t="shared" si="12"/>
        <v>23774</v>
      </c>
      <c r="AS9" s="31">
        <f t="shared" si="13"/>
        <v>22708</v>
      </c>
      <c r="AT9" s="31">
        <f t="shared" si="14"/>
        <v>22372</v>
      </c>
      <c r="AU9" s="40">
        <f t="shared" si="15"/>
        <v>24534</v>
      </c>
    </row>
    <row r="10" spans="1:47" s="11" customFormat="1" ht="12.75">
      <c r="A10" s="70" t="s">
        <v>19</v>
      </c>
      <c r="B10" s="72">
        <f t="shared" si="0"/>
        <v>-0.39847897833261586</v>
      </c>
      <c r="C10" s="31">
        <v>8384</v>
      </c>
      <c r="D10" s="31">
        <v>13938</v>
      </c>
      <c r="E10" s="31">
        <v>11527</v>
      </c>
      <c r="F10" s="31">
        <v>6056</v>
      </c>
      <c r="G10" s="31">
        <v>17035</v>
      </c>
      <c r="H10" s="31">
        <v>27208</v>
      </c>
      <c r="I10" s="31">
        <v>16532</v>
      </c>
      <c r="J10" s="31">
        <v>17333</v>
      </c>
      <c r="K10" s="31">
        <v>17908</v>
      </c>
      <c r="L10" s="31">
        <v>16200</v>
      </c>
      <c r="M10" s="31">
        <v>11687</v>
      </c>
      <c r="N10" s="31">
        <v>12123</v>
      </c>
      <c r="O10" s="31">
        <v>14830</v>
      </c>
      <c r="P10" s="31">
        <v>18630</v>
      </c>
      <c r="Q10" s="40">
        <v>19836</v>
      </c>
      <c r="R10" s="71">
        <f t="shared" si="1"/>
        <v>-0.3346603202077023</v>
      </c>
      <c r="S10" s="33">
        <v>7688</v>
      </c>
      <c r="T10" s="33">
        <v>11555</v>
      </c>
      <c r="U10" s="33">
        <v>8825</v>
      </c>
      <c r="V10" s="33">
        <v>6423</v>
      </c>
      <c r="W10" s="33">
        <v>5814</v>
      </c>
      <c r="X10" s="33">
        <v>7334</v>
      </c>
      <c r="Y10" s="33">
        <v>5149</v>
      </c>
      <c r="Z10" s="33">
        <v>5782</v>
      </c>
      <c r="AA10" s="33">
        <v>5366</v>
      </c>
      <c r="AB10" s="33">
        <v>6979</v>
      </c>
      <c r="AC10" s="33">
        <v>5591</v>
      </c>
      <c r="AD10" s="33">
        <v>8033</v>
      </c>
      <c r="AE10" s="33">
        <v>7387</v>
      </c>
      <c r="AF10" s="33">
        <v>10228</v>
      </c>
      <c r="AG10" s="73">
        <v>8350</v>
      </c>
      <c r="AH10" s="72">
        <f t="shared" si="2"/>
        <v>-0.36955242615619976</v>
      </c>
      <c r="AI10" s="92">
        <f t="shared" si="3"/>
        <v>16072</v>
      </c>
      <c r="AJ10" s="31">
        <f t="shared" si="4"/>
        <v>25493</v>
      </c>
      <c r="AK10" s="31">
        <f t="shared" si="5"/>
        <v>20352</v>
      </c>
      <c r="AL10" s="31">
        <f t="shared" si="6"/>
        <v>12479</v>
      </c>
      <c r="AM10" s="31">
        <f t="shared" si="7"/>
        <v>22849</v>
      </c>
      <c r="AN10" s="31">
        <f t="shared" si="8"/>
        <v>34542</v>
      </c>
      <c r="AO10" s="31">
        <f t="shared" si="9"/>
        <v>21681</v>
      </c>
      <c r="AP10" s="31">
        <f t="shared" si="10"/>
        <v>23115</v>
      </c>
      <c r="AQ10" s="31">
        <f t="shared" si="11"/>
        <v>23274</v>
      </c>
      <c r="AR10" s="31">
        <f t="shared" si="12"/>
        <v>23179</v>
      </c>
      <c r="AS10" s="31">
        <f t="shared" si="13"/>
        <v>17278</v>
      </c>
      <c r="AT10" s="31">
        <f t="shared" si="14"/>
        <v>20156</v>
      </c>
      <c r="AU10" s="40">
        <f t="shared" si="15"/>
        <v>22217</v>
      </c>
    </row>
    <row r="11" spans="1:47" s="11" customFormat="1" ht="12.75">
      <c r="A11" s="70" t="s">
        <v>20</v>
      </c>
      <c r="B11" s="72"/>
      <c r="C11" s="31"/>
      <c r="D11" s="31">
        <v>15257</v>
      </c>
      <c r="E11" s="31">
        <v>12728</v>
      </c>
      <c r="F11" s="31">
        <v>10934</v>
      </c>
      <c r="G11" s="31">
        <v>18607</v>
      </c>
      <c r="H11" s="31">
        <v>20812</v>
      </c>
      <c r="I11" s="31">
        <v>24706</v>
      </c>
      <c r="J11" s="31">
        <v>15856</v>
      </c>
      <c r="K11" s="31">
        <v>20161</v>
      </c>
      <c r="L11" s="31">
        <v>19146</v>
      </c>
      <c r="M11" s="31">
        <v>15616</v>
      </c>
      <c r="N11" s="31">
        <v>15905</v>
      </c>
      <c r="O11" s="31">
        <v>17453</v>
      </c>
      <c r="P11" s="31">
        <v>18584</v>
      </c>
      <c r="Q11" s="40">
        <v>20159</v>
      </c>
      <c r="R11" s="71"/>
      <c r="S11" s="33"/>
      <c r="T11" s="33">
        <v>10366</v>
      </c>
      <c r="U11" s="33">
        <v>9551</v>
      </c>
      <c r="V11" s="33">
        <v>7338</v>
      </c>
      <c r="W11" s="33">
        <v>6775</v>
      </c>
      <c r="X11" s="33">
        <v>6958</v>
      </c>
      <c r="Y11" s="33">
        <v>5680</v>
      </c>
      <c r="Z11" s="33">
        <v>5882</v>
      </c>
      <c r="AA11" s="33">
        <v>5403</v>
      </c>
      <c r="AB11" s="33">
        <v>6193</v>
      </c>
      <c r="AC11" s="33">
        <v>6649</v>
      </c>
      <c r="AD11" s="33">
        <v>8205</v>
      </c>
      <c r="AE11" s="33">
        <v>8507</v>
      </c>
      <c r="AF11" s="33">
        <v>8334</v>
      </c>
      <c r="AG11" s="73">
        <v>10049</v>
      </c>
      <c r="AH11" s="72"/>
      <c r="AI11" s="92"/>
      <c r="AJ11" s="31">
        <f t="shared" si="4"/>
        <v>25623</v>
      </c>
      <c r="AK11" s="31">
        <f t="shared" si="5"/>
        <v>22279</v>
      </c>
      <c r="AL11" s="31">
        <f t="shared" si="6"/>
        <v>18272</v>
      </c>
      <c r="AM11" s="31">
        <f t="shared" si="7"/>
        <v>25382</v>
      </c>
      <c r="AN11" s="31">
        <f t="shared" si="8"/>
        <v>27770</v>
      </c>
      <c r="AO11" s="31">
        <f t="shared" si="9"/>
        <v>30386</v>
      </c>
      <c r="AP11" s="31">
        <f t="shared" si="10"/>
        <v>21738</v>
      </c>
      <c r="AQ11" s="31">
        <f t="shared" si="11"/>
        <v>25564</v>
      </c>
      <c r="AR11" s="31">
        <f t="shared" si="12"/>
        <v>25339</v>
      </c>
      <c r="AS11" s="31">
        <f t="shared" si="13"/>
        <v>22265</v>
      </c>
      <c r="AT11" s="31">
        <f t="shared" si="14"/>
        <v>24110</v>
      </c>
      <c r="AU11" s="40">
        <f t="shared" si="15"/>
        <v>25960</v>
      </c>
    </row>
    <row r="12" spans="1:47" s="11" customFormat="1" ht="12.75">
      <c r="A12" s="70" t="s">
        <v>21</v>
      </c>
      <c r="B12" s="72"/>
      <c r="C12" s="31"/>
      <c r="D12" s="31">
        <v>13140</v>
      </c>
      <c r="E12" s="31">
        <v>14106</v>
      </c>
      <c r="F12" s="31">
        <v>7651</v>
      </c>
      <c r="G12" s="31">
        <v>18690</v>
      </c>
      <c r="H12" s="31">
        <v>23075</v>
      </c>
      <c r="I12" s="31">
        <v>18987</v>
      </c>
      <c r="J12" s="31">
        <v>16966</v>
      </c>
      <c r="K12" s="31">
        <v>15855</v>
      </c>
      <c r="L12" s="31">
        <v>15500</v>
      </c>
      <c r="M12" s="31">
        <v>13917</v>
      </c>
      <c r="N12" s="31">
        <v>14947</v>
      </c>
      <c r="O12" s="31">
        <v>17674</v>
      </c>
      <c r="P12" s="31">
        <v>22210</v>
      </c>
      <c r="Q12" s="40">
        <v>19428</v>
      </c>
      <c r="R12" s="71"/>
      <c r="S12" s="33"/>
      <c r="T12" s="33">
        <v>10845</v>
      </c>
      <c r="U12" s="33">
        <v>9404</v>
      </c>
      <c r="V12" s="33">
        <v>6173</v>
      </c>
      <c r="W12" s="33">
        <v>7302</v>
      </c>
      <c r="X12" s="33">
        <v>6133</v>
      </c>
      <c r="Y12" s="33">
        <v>5229</v>
      </c>
      <c r="Z12" s="33">
        <v>5579</v>
      </c>
      <c r="AA12" s="33">
        <v>6299</v>
      </c>
      <c r="AB12" s="33">
        <v>5819</v>
      </c>
      <c r="AC12" s="33">
        <v>6513</v>
      </c>
      <c r="AD12" s="33">
        <v>9295</v>
      </c>
      <c r="AE12" s="33">
        <v>7177</v>
      </c>
      <c r="AF12" s="33">
        <v>12236</v>
      </c>
      <c r="AG12" s="73">
        <v>8435</v>
      </c>
      <c r="AH12" s="72"/>
      <c r="AI12" s="92"/>
      <c r="AJ12" s="31">
        <f t="shared" si="4"/>
        <v>23985</v>
      </c>
      <c r="AK12" s="31">
        <f t="shared" si="5"/>
        <v>23510</v>
      </c>
      <c r="AL12" s="31">
        <f t="shared" si="6"/>
        <v>13824</v>
      </c>
      <c r="AM12" s="31">
        <f t="shared" si="7"/>
        <v>25992</v>
      </c>
      <c r="AN12" s="31">
        <f t="shared" si="8"/>
        <v>29208</v>
      </c>
      <c r="AO12" s="31">
        <f t="shared" si="9"/>
        <v>24216</v>
      </c>
      <c r="AP12" s="31">
        <f t="shared" si="10"/>
        <v>22545</v>
      </c>
      <c r="AQ12" s="31">
        <f t="shared" si="11"/>
        <v>22154</v>
      </c>
      <c r="AR12" s="31">
        <f t="shared" si="12"/>
        <v>21319</v>
      </c>
      <c r="AS12" s="31">
        <f t="shared" si="13"/>
        <v>20430</v>
      </c>
      <c r="AT12" s="31">
        <f t="shared" si="14"/>
        <v>24242</v>
      </c>
      <c r="AU12" s="40">
        <f t="shared" si="15"/>
        <v>24851</v>
      </c>
    </row>
    <row r="13" spans="1:47" s="11" customFormat="1" ht="12.75">
      <c r="A13" s="70" t="s">
        <v>22</v>
      </c>
      <c r="B13" s="72"/>
      <c r="C13" s="31"/>
      <c r="D13" s="31">
        <v>11824</v>
      </c>
      <c r="E13" s="31">
        <v>15646</v>
      </c>
      <c r="F13" s="31">
        <v>10328</v>
      </c>
      <c r="G13" s="31">
        <v>12810</v>
      </c>
      <c r="H13" s="31">
        <v>22565</v>
      </c>
      <c r="I13" s="31">
        <v>19863</v>
      </c>
      <c r="J13" s="31">
        <v>19856</v>
      </c>
      <c r="K13" s="31">
        <v>23144</v>
      </c>
      <c r="L13" s="31">
        <v>21448</v>
      </c>
      <c r="M13" s="31">
        <v>15381</v>
      </c>
      <c r="N13" s="31">
        <v>19227</v>
      </c>
      <c r="O13" s="31">
        <v>17095</v>
      </c>
      <c r="P13" s="31">
        <v>19350</v>
      </c>
      <c r="Q13" s="40">
        <v>25250</v>
      </c>
      <c r="R13" s="71"/>
      <c r="S13" s="33"/>
      <c r="T13" s="33">
        <v>9188</v>
      </c>
      <c r="U13" s="33">
        <v>8725</v>
      </c>
      <c r="V13" s="33">
        <v>6791</v>
      </c>
      <c r="W13" s="33">
        <v>4806</v>
      </c>
      <c r="X13" s="33">
        <v>6554</v>
      </c>
      <c r="Y13" s="33">
        <v>4557</v>
      </c>
      <c r="Z13" s="33">
        <v>5875</v>
      </c>
      <c r="AA13" s="33">
        <v>5698</v>
      </c>
      <c r="AB13" s="33">
        <v>10256</v>
      </c>
      <c r="AC13" s="33">
        <v>7200</v>
      </c>
      <c r="AD13" s="33">
        <v>10234</v>
      </c>
      <c r="AE13" s="33">
        <v>9858</v>
      </c>
      <c r="AF13" s="33">
        <v>7074</v>
      </c>
      <c r="AG13" s="73">
        <v>10222</v>
      </c>
      <c r="AH13" s="72"/>
      <c r="AI13" s="92"/>
      <c r="AJ13" s="31">
        <f t="shared" si="4"/>
        <v>21012</v>
      </c>
      <c r="AK13" s="31">
        <f t="shared" si="5"/>
        <v>24371</v>
      </c>
      <c r="AL13" s="31">
        <f t="shared" si="6"/>
        <v>17119</v>
      </c>
      <c r="AM13" s="31">
        <f t="shared" si="7"/>
        <v>17616</v>
      </c>
      <c r="AN13" s="31">
        <f t="shared" si="8"/>
        <v>29119</v>
      </c>
      <c r="AO13" s="31">
        <f t="shared" si="9"/>
        <v>24420</v>
      </c>
      <c r="AP13" s="31">
        <f t="shared" si="10"/>
        <v>25731</v>
      </c>
      <c r="AQ13" s="31">
        <f t="shared" si="11"/>
        <v>28842</v>
      </c>
      <c r="AR13" s="31">
        <f t="shared" si="12"/>
        <v>31704</v>
      </c>
      <c r="AS13" s="31">
        <f t="shared" si="13"/>
        <v>22581</v>
      </c>
      <c r="AT13" s="31">
        <f t="shared" si="14"/>
        <v>29461</v>
      </c>
      <c r="AU13" s="40">
        <f t="shared" si="15"/>
        <v>26953</v>
      </c>
    </row>
    <row r="14" spans="1:47" s="11" customFormat="1" ht="12.75">
      <c r="A14" s="70" t="s">
        <v>23</v>
      </c>
      <c r="B14" s="72"/>
      <c r="C14" s="31"/>
      <c r="D14" s="31">
        <v>11572</v>
      </c>
      <c r="E14" s="31">
        <v>10367</v>
      </c>
      <c r="F14" s="31">
        <v>8356</v>
      </c>
      <c r="G14" s="31">
        <v>12296</v>
      </c>
      <c r="H14" s="31">
        <v>20658</v>
      </c>
      <c r="I14" s="31">
        <v>13496</v>
      </c>
      <c r="J14" s="31">
        <v>16826</v>
      </c>
      <c r="K14" s="31">
        <v>18979</v>
      </c>
      <c r="L14" s="31">
        <v>19281</v>
      </c>
      <c r="M14" s="31">
        <v>16354</v>
      </c>
      <c r="N14" s="31">
        <v>18151</v>
      </c>
      <c r="O14" s="31">
        <v>20116</v>
      </c>
      <c r="P14" s="31">
        <v>17761</v>
      </c>
      <c r="Q14" s="40">
        <v>17851</v>
      </c>
      <c r="R14" s="71"/>
      <c r="S14" s="33"/>
      <c r="T14" s="33">
        <v>8206</v>
      </c>
      <c r="U14" s="33">
        <v>7534</v>
      </c>
      <c r="V14" s="33">
        <v>5626</v>
      </c>
      <c r="W14" s="33">
        <v>5445</v>
      </c>
      <c r="X14" s="33">
        <v>6043</v>
      </c>
      <c r="Y14" s="33">
        <v>4379</v>
      </c>
      <c r="Z14" s="33">
        <v>5256</v>
      </c>
      <c r="AA14" s="33">
        <v>4542</v>
      </c>
      <c r="AB14" s="33">
        <v>7637</v>
      </c>
      <c r="AC14" s="33">
        <v>8811</v>
      </c>
      <c r="AD14" s="33">
        <v>10266</v>
      </c>
      <c r="AE14" s="33">
        <v>11623</v>
      </c>
      <c r="AF14" s="33">
        <v>8092</v>
      </c>
      <c r="AG14" s="73">
        <v>7016</v>
      </c>
      <c r="AH14" s="72"/>
      <c r="AI14" s="92"/>
      <c r="AJ14" s="31">
        <f t="shared" si="4"/>
        <v>19778</v>
      </c>
      <c r="AK14" s="31">
        <f t="shared" si="5"/>
        <v>17901</v>
      </c>
      <c r="AL14" s="31">
        <f t="shared" si="6"/>
        <v>13982</v>
      </c>
      <c r="AM14" s="31">
        <f t="shared" si="7"/>
        <v>17741</v>
      </c>
      <c r="AN14" s="31">
        <f t="shared" si="8"/>
        <v>26701</v>
      </c>
      <c r="AO14" s="31">
        <f t="shared" si="9"/>
        <v>17875</v>
      </c>
      <c r="AP14" s="31">
        <f t="shared" si="10"/>
        <v>22082</v>
      </c>
      <c r="AQ14" s="31">
        <f t="shared" si="11"/>
        <v>23521</v>
      </c>
      <c r="AR14" s="31">
        <f t="shared" si="12"/>
        <v>26918</v>
      </c>
      <c r="AS14" s="31">
        <f t="shared" si="13"/>
        <v>25165</v>
      </c>
      <c r="AT14" s="31">
        <f t="shared" si="14"/>
        <v>28417</v>
      </c>
      <c r="AU14" s="40">
        <f t="shared" si="15"/>
        <v>31739</v>
      </c>
    </row>
    <row r="15" spans="1:47" s="11" customFormat="1" ht="13.5" thickBot="1">
      <c r="A15" s="409" t="s">
        <v>24</v>
      </c>
      <c r="B15" s="410"/>
      <c r="C15" s="411"/>
      <c r="D15" s="411">
        <v>11921</v>
      </c>
      <c r="E15" s="411">
        <v>10820</v>
      </c>
      <c r="F15" s="411">
        <v>7216</v>
      </c>
      <c r="G15" s="411">
        <v>10372</v>
      </c>
      <c r="H15" s="411">
        <v>22438</v>
      </c>
      <c r="I15" s="411">
        <v>17090</v>
      </c>
      <c r="J15" s="411">
        <v>20401</v>
      </c>
      <c r="K15" s="411">
        <v>17583</v>
      </c>
      <c r="L15" s="411">
        <v>16588</v>
      </c>
      <c r="M15" s="411">
        <v>14633</v>
      </c>
      <c r="N15" s="411">
        <v>15716</v>
      </c>
      <c r="O15" s="411">
        <v>17847</v>
      </c>
      <c r="P15" s="411">
        <v>21794</v>
      </c>
      <c r="Q15" s="412">
        <v>18175</v>
      </c>
      <c r="R15" s="414"/>
      <c r="S15" s="415"/>
      <c r="T15" s="415">
        <v>9453</v>
      </c>
      <c r="U15" s="415">
        <v>8001</v>
      </c>
      <c r="V15" s="415">
        <v>5207</v>
      </c>
      <c r="W15" s="415">
        <v>4446</v>
      </c>
      <c r="X15" s="415">
        <v>5618</v>
      </c>
      <c r="Y15" s="415">
        <v>4345</v>
      </c>
      <c r="Z15" s="415">
        <v>5235</v>
      </c>
      <c r="AA15" s="415">
        <v>5622</v>
      </c>
      <c r="AB15" s="415">
        <v>5676</v>
      </c>
      <c r="AC15" s="415">
        <v>8972</v>
      </c>
      <c r="AD15" s="415">
        <v>8785</v>
      </c>
      <c r="AE15" s="415">
        <v>6342</v>
      </c>
      <c r="AF15" s="415">
        <v>6341</v>
      </c>
      <c r="AG15" s="416">
        <v>9809</v>
      </c>
      <c r="AH15" s="1224"/>
      <c r="AI15" s="1225"/>
      <c r="AJ15" s="42">
        <f t="shared" si="4"/>
        <v>21374</v>
      </c>
      <c r="AK15" s="42">
        <f t="shared" si="5"/>
        <v>18821</v>
      </c>
      <c r="AL15" s="42">
        <f t="shared" si="6"/>
        <v>12423</v>
      </c>
      <c r="AM15" s="42">
        <f t="shared" si="7"/>
        <v>14818</v>
      </c>
      <c r="AN15" s="42">
        <f t="shared" si="8"/>
        <v>28056</v>
      </c>
      <c r="AO15" s="42">
        <f t="shared" si="9"/>
        <v>21435</v>
      </c>
      <c r="AP15" s="42">
        <f t="shared" si="10"/>
        <v>25636</v>
      </c>
      <c r="AQ15" s="42">
        <f t="shared" si="11"/>
        <v>23205</v>
      </c>
      <c r="AR15" s="42">
        <f t="shared" si="12"/>
        <v>22264</v>
      </c>
      <c r="AS15" s="42">
        <f t="shared" si="13"/>
        <v>23605</v>
      </c>
      <c r="AT15" s="42">
        <f t="shared" si="14"/>
        <v>24501</v>
      </c>
      <c r="AU15" s="48">
        <f t="shared" si="15"/>
        <v>24189</v>
      </c>
    </row>
    <row r="16" spans="1:47" s="311" customFormat="1" ht="12.75">
      <c r="A16" s="413" t="s">
        <v>25</v>
      </c>
      <c r="B16" s="996">
        <f>SUM(C16-D16)/D16</f>
        <v>-0.10381333675720472</v>
      </c>
      <c r="C16" s="394">
        <f aca="true" t="shared" si="16" ref="C16:AG16">SUM(C4:C10)</f>
        <v>76779</v>
      </c>
      <c r="D16" s="394">
        <f t="shared" si="16"/>
        <v>85673</v>
      </c>
      <c r="E16" s="394">
        <f t="shared" si="16"/>
        <v>61124</v>
      </c>
      <c r="F16" s="394">
        <f t="shared" si="16"/>
        <v>50794</v>
      </c>
      <c r="G16" s="394">
        <f t="shared" si="16"/>
        <v>130967</v>
      </c>
      <c r="H16" s="394">
        <f t="shared" si="16"/>
        <v>156208</v>
      </c>
      <c r="I16" s="394">
        <f t="shared" si="16"/>
        <v>106156</v>
      </c>
      <c r="J16" s="394">
        <f t="shared" si="16"/>
        <v>124838</v>
      </c>
      <c r="K16" s="394">
        <f t="shared" si="16"/>
        <v>125759</v>
      </c>
      <c r="L16" s="394">
        <f t="shared" si="16"/>
        <v>114399</v>
      </c>
      <c r="M16" s="394">
        <f t="shared" si="16"/>
        <v>100818</v>
      </c>
      <c r="N16" s="394">
        <f t="shared" si="16"/>
        <v>102687</v>
      </c>
      <c r="O16" s="394">
        <f t="shared" si="16"/>
        <v>110508</v>
      </c>
      <c r="P16" s="394">
        <f t="shared" si="16"/>
        <v>126714</v>
      </c>
      <c r="Q16" s="394">
        <f t="shared" si="16"/>
        <v>120279</v>
      </c>
      <c r="R16" s="408">
        <f>SUM(S16-T16)/T16</f>
        <v>0.005775090534913772</v>
      </c>
      <c r="S16" s="394">
        <f t="shared" si="16"/>
        <v>63045</v>
      </c>
      <c r="T16" s="394">
        <f t="shared" si="16"/>
        <v>62683</v>
      </c>
      <c r="U16" s="394">
        <f t="shared" si="16"/>
        <v>46478</v>
      </c>
      <c r="V16" s="394">
        <f t="shared" si="16"/>
        <v>34065</v>
      </c>
      <c r="W16" s="394">
        <f t="shared" si="16"/>
        <v>42730</v>
      </c>
      <c r="X16" s="394">
        <f t="shared" si="16"/>
        <v>42509</v>
      </c>
      <c r="Y16" s="394">
        <f t="shared" si="16"/>
        <v>31257</v>
      </c>
      <c r="Z16" s="394">
        <f t="shared" si="16"/>
        <v>35921</v>
      </c>
      <c r="AA16" s="394">
        <f t="shared" si="16"/>
        <v>41898</v>
      </c>
      <c r="AB16" s="394">
        <f t="shared" si="16"/>
        <v>51319</v>
      </c>
      <c r="AC16" s="394">
        <f t="shared" si="16"/>
        <v>44444</v>
      </c>
      <c r="AD16" s="394">
        <f t="shared" si="16"/>
        <v>61512</v>
      </c>
      <c r="AE16" s="394">
        <f t="shared" si="16"/>
        <v>57971</v>
      </c>
      <c r="AF16" s="394">
        <f t="shared" si="16"/>
        <v>61258</v>
      </c>
      <c r="AG16" s="394">
        <f t="shared" si="16"/>
        <v>51288</v>
      </c>
      <c r="AH16" s="408">
        <f>SUM(AI16-AJ16)/AJ16</f>
        <v>-0.057510313030817765</v>
      </c>
      <c r="AI16" s="1222">
        <f t="shared" si="4"/>
        <v>139824</v>
      </c>
      <c r="AJ16" s="1222">
        <f>+D16+T16</f>
        <v>148356</v>
      </c>
      <c r="AK16" s="1222">
        <f t="shared" si="5"/>
        <v>107602</v>
      </c>
      <c r="AL16" s="1222">
        <f t="shared" si="6"/>
        <v>84859</v>
      </c>
      <c r="AM16" s="1222">
        <f t="shared" si="7"/>
        <v>173697</v>
      </c>
      <c r="AN16" s="1222">
        <f t="shared" si="8"/>
        <v>198717</v>
      </c>
      <c r="AO16" s="1222">
        <f t="shared" si="9"/>
        <v>137413</v>
      </c>
      <c r="AP16" s="1222">
        <f t="shared" si="10"/>
        <v>160759</v>
      </c>
      <c r="AQ16" s="1222">
        <f t="shared" si="11"/>
        <v>167657</v>
      </c>
      <c r="AR16" s="1222">
        <f t="shared" si="12"/>
        <v>165718</v>
      </c>
      <c r="AS16" s="1222">
        <f t="shared" si="13"/>
        <v>145262</v>
      </c>
      <c r="AT16" s="1222">
        <f t="shared" si="14"/>
        <v>164199</v>
      </c>
      <c r="AU16" s="1223">
        <f t="shared" si="15"/>
        <v>168479</v>
      </c>
    </row>
    <row r="17" spans="1:47" s="311" customFormat="1" ht="13.5" thickBot="1">
      <c r="A17" s="362" t="s">
        <v>26</v>
      </c>
      <c r="B17" s="996">
        <f>SUM(C17-D17)/D17</f>
        <v>-0.11892505467582283</v>
      </c>
      <c r="C17" s="357">
        <f>AVERAGE(C4:C15)</f>
        <v>10968.42857142857</v>
      </c>
      <c r="D17" s="357">
        <f>AVERAGE(D4:D15)</f>
        <v>12448.916666666666</v>
      </c>
      <c r="E17" s="98">
        <f>AVERAGE(E4:E15)</f>
        <v>10399.25</v>
      </c>
      <c r="F17" s="98">
        <f>AVERAGE(F4:F15)</f>
        <v>7939.916666666667</v>
      </c>
      <c r="G17" s="98">
        <f aca="true" t="shared" si="17" ref="G17:Q17">AVERAGE(G4:G15)</f>
        <v>16978.5</v>
      </c>
      <c r="H17" s="98">
        <f t="shared" si="17"/>
        <v>22146.333333333332</v>
      </c>
      <c r="I17" s="98">
        <f t="shared" si="17"/>
        <v>16691.5</v>
      </c>
      <c r="J17" s="98">
        <f t="shared" si="17"/>
        <v>17895.25</v>
      </c>
      <c r="K17" s="98">
        <f t="shared" si="17"/>
        <v>18456.75</v>
      </c>
      <c r="L17" s="98">
        <f t="shared" si="17"/>
        <v>17196.833333333332</v>
      </c>
      <c r="M17" s="98">
        <f t="shared" si="17"/>
        <v>14726.583333333334</v>
      </c>
      <c r="N17" s="98">
        <f t="shared" si="17"/>
        <v>15552.75</v>
      </c>
      <c r="O17" s="98">
        <f t="shared" si="17"/>
        <v>16724.416666666668</v>
      </c>
      <c r="P17" s="98">
        <f t="shared" si="17"/>
        <v>18867.75</v>
      </c>
      <c r="Q17" s="298">
        <f t="shared" si="17"/>
        <v>18428.5</v>
      </c>
      <c r="R17" s="297">
        <f>SUM(S17-T17)/T17</f>
        <v>0.056927152021816224</v>
      </c>
      <c r="S17" s="357">
        <f>AVERAGE(S4:S10)</f>
        <v>9006.42857142857</v>
      </c>
      <c r="T17" s="357">
        <f>AVERAGE(T4:T9)</f>
        <v>8521.333333333334</v>
      </c>
      <c r="U17" s="98">
        <f>AVERAGE(U4:U15)</f>
        <v>7474.416666666667</v>
      </c>
      <c r="V17" s="98">
        <f>AVERAGE(V4:V15)</f>
        <v>5433.333333333333</v>
      </c>
      <c r="W17" s="98">
        <f aca="true" t="shared" si="18" ref="W17:AG17">AVERAGE(W4:W15)</f>
        <v>5958.666666666667</v>
      </c>
      <c r="X17" s="98">
        <f t="shared" si="18"/>
        <v>6151.25</v>
      </c>
      <c r="Y17" s="98">
        <f t="shared" si="18"/>
        <v>4620.583333333333</v>
      </c>
      <c r="Z17" s="98">
        <f t="shared" si="18"/>
        <v>5312.333333333333</v>
      </c>
      <c r="AA17" s="98">
        <f t="shared" si="18"/>
        <v>5788.5</v>
      </c>
      <c r="AB17" s="98">
        <f t="shared" si="18"/>
        <v>7241.666666666667</v>
      </c>
      <c r="AC17" s="98">
        <f t="shared" si="18"/>
        <v>6882.416666666667</v>
      </c>
      <c r="AD17" s="98">
        <f t="shared" si="18"/>
        <v>9024.75</v>
      </c>
      <c r="AE17" s="98">
        <f t="shared" si="18"/>
        <v>8456.5</v>
      </c>
      <c r="AF17" s="98">
        <f t="shared" si="18"/>
        <v>8611.25</v>
      </c>
      <c r="AG17" s="997">
        <f t="shared" si="18"/>
        <v>8068.25</v>
      </c>
      <c r="AH17" s="297">
        <f>SUM(AJ17-AK17)/AK17</f>
        <v>0.11946811883403882</v>
      </c>
      <c r="AI17" s="295">
        <f>AVERAGE(AI4:AI7)</f>
        <v>20892.25</v>
      </c>
      <c r="AJ17" s="295">
        <f>AVERAGE(AJ4:AJ7)</f>
        <v>20009</v>
      </c>
      <c r="AK17" s="98">
        <f>AVERAGE(AK4:AK15)</f>
        <v>17873.666666666668</v>
      </c>
      <c r="AL17" s="98">
        <f>AVERAGE(AL4:AL15)</f>
        <v>13373.25</v>
      </c>
      <c r="AM17" s="98">
        <f aca="true" t="shared" si="19" ref="AM17:AU17">AVERAGE(AM4:AM15)</f>
        <v>22937.166666666668</v>
      </c>
      <c r="AN17" s="98">
        <f t="shared" si="19"/>
        <v>28297.583333333332</v>
      </c>
      <c r="AO17" s="98">
        <f t="shared" si="19"/>
        <v>21312.083333333332</v>
      </c>
      <c r="AP17" s="98">
        <f t="shared" si="19"/>
        <v>23207.583333333332</v>
      </c>
      <c r="AQ17" s="98">
        <f t="shared" si="19"/>
        <v>24245.25</v>
      </c>
      <c r="AR17" s="98">
        <f t="shared" si="19"/>
        <v>24438.5</v>
      </c>
      <c r="AS17" s="98">
        <f t="shared" si="19"/>
        <v>21609</v>
      </c>
      <c r="AT17" s="98">
        <f t="shared" si="19"/>
        <v>24577.5</v>
      </c>
      <c r="AU17" s="298">
        <f t="shared" si="19"/>
        <v>25180.916666666668</v>
      </c>
    </row>
  </sheetData>
  <mergeCells count="4">
    <mergeCell ref="A1:A3"/>
    <mergeCell ref="B1:Q1"/>
    <mergeCell ref="R1:AG1"/>
    <mergeCell ref="AH1:AU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1" topLeftCell="B1" activePane="topRight" state="frozen"/>
      <selection pane="topLeft" activeCell="A1" sqref="A1"/>
      <selection pane="topRight" activeCell="C19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140625" defaultRowHeight="12.75"/>
  <cols>
    <col min="1" max="1" width="14.421875" style="142" bestFit="1" customWidth="1"/>
    <col min="2" max="2" width="5.8515625" style="142" customWidth="1"/>
    <col min="3" max="4" width="6.8515625" style="142" customWidth="1"/>
    <col min="5" max="9" width="6.8515625" style="142" bestFit="1" customWidth="1"/>
    <col min="10" max="10" width="5.8515625" style="142" customWidth="1"/>
    <col min="11" max="11" width="6.8515625" style="142" customWidth="1"/>
    <col min="12" max="16" width="6.8515625" style="142" bestFit="1" customWidth="1"/>
    <col min="17" max="17" width="5.8515625" style="142" customWidth="1"/>
    <col min="18" max="24" width="5.7109375" style="142" customWidth="1"/>
    <col min="25" max="25" width="5.8515625" style="142" customWidth="1"/>
    <col min="26" max="27" width="6.8515625" style="142" customWidth="1"/>
    <col min="28" max="31" width="6.8515625" style="142" bestFit="1" customWidth="1"/>
    <col min="32" max="32" width="6.8515625" style="142" customWidth="1"/>
    <col min="33" max="33" width="5.8515625" style="142" customWidth="1"/>
    <col min="34" max="37" width="6.57421875" style="142" customWidth="1"/>
    <col min="38" max="39" width="5.7109375" style="142" customWidth="1"/>
    <col min="40" max="40" width="7.7109375" style="142" bestFit="1" customWidth="1"/>
    <col min="41" max="16384" width="9.140625" style="142" customWidth="1"/>
  </cols>
  <sheetData>
    <row r="1" spans="1:40" s="632" customFormat="1" ht="12" thickBot="1">
      <c r="A1" s="1887" t="s">
        <v>119</v>
      </c>
      <c r="B1" s="603"/>
      <c r="C1" s="897"/>
      <c r="D1" s="897"/>
      <c r="E1" s="897"/>
      <c r="F1" s="897"/>
      <c r="G1" s="897"/>
      <c r="H1" s="897"/>
      <c r="I1" s="897"/>
      <c r="J1" s="603"/>
      <c r="K1" s="897"/>
      <c r="L1" s="897"/>
      <c r="M1" s="897"/>
      <c r="N1" s="897"/>
      <c r="O1" s="897"/>
      <c r="P1" s="897"/>
      <c r="Q1" s="603"/>
      <c r="R1" s="897"/>
      <c r="S1" s="954"/>
      <c r="T1" s="954"/>
      <c r="U1" s="954"/>
      <c r="V1" s="954"/>
      <c r="W1" s="954"/>
      <c r="X1" s="954"/>
      <c r="Y1" s="603"/>
      <c r="Z1" s="897"/>
      <c r="AA1" s="954"/>
      <c r="AB1" s="954"/>
      <c r="AC1" s="954"/>
      <c r="AD1" s="954"/>
      <c r="AE1" s="954"/>
      <c r="AF1" s="954"/>
      <c r="AG1" s="954"/>
      <c r="AH1" s="954"/>
      <c r="AI1" s="954"/>
      <c r="AJ1" s="1889"/>
      <c r="AK1" s="1889"/>
      <c r="AL1" s="1889"/>
      <c r="AM1" s="1889"/>
      <c r="AN1" s="1889"/>
    </row>
    <row r="2" spans="1:40" s="632" customFormat="1" ht="34.5" thickBot="1">
      <c r="A2" s="1888"/>
      <c r="B2" s="898" t="s">
        <v>179</v>
      </c>
      <c r="C2" s="899">
        <v>2008</v>
      </c>
      <c r="D2" s="899">
        <v>2007</v>
      </c>
      <c r="E2" s="899">
        <v>2006</v>
      </c>
      <c r="F2" s="899">
        <v>2005</v>
      </c>
      <c r="G2" s="899">
        <v>2004</v>
      </c>
      <c r="H2" s="899">
        <v>2003</v>
      </c>
      <c r="I2" s="900">
        <v>2002</v>
      </c>
      <c r="J2" s="943" t="s">
        <v>179</v>
      </c>
      <c r="K2" s="89">
        <v>2008</v>
      </c>
      <c r="L2" s="89">
        <v>2006</v>
      </c>
      <c r="M2" s="89">
        <v>2005</v>
      </c>
      <c r="N2" s="89">
        <v>2004</v>
      </c>
      <c r="O2" s="89">
        <v>2003</v>
      </c>
      <c r="P2" s="90">
        <v>2002</v>
      </c>
      <c r="Q2" s="944" t="s">
        <v>179</v>
      </c>
      <c r="R2" s="901">
        <v>2008</v>
      </c>
      <c r="S2" s="901">
        <v>2007</v>
      </c>
      <c r="T2" s="901">
        <v>2006</v>
      </c>
      <c r="U2" s="901">
        <v>2005</v>
      </c>
      <c r="V2" s="901">
        <v>2004</v>
      </c>
      <c r="W2" s="901">
        <v>2003</v>
      </c>
      <c r="X2" s="902">
        <v>2002</v>
      </c>
      <c r="Y2" s="945" t="s">
        <v>179</v>
      </c>
      <c r="Z2" s="903">
        <v>2008</v>
      </c>
      <c r="AA2" s="903">
        <v>2007</v>
      </c>
      <c r="AB2" s="903">
        <v>2006</v>
      </c>
      <c r="AC2" s="903">
        <v>2005</v>
      </c>
      <c r="AD2" s="903">
        <v>2004</v>
      </c>
      <c r="AE2" s="903">
        <v>2003</v>
      </c>
      <c r="AF2" s="904">
        <v>2002</v>
      </c>
      <c r="AG2" s="905" t="s">
        <v>180</v>
      </c>
      <c r="AH2" s="162">
        <v>2008</v>
      </c>
      <c r="AI2" s="162">
        <v>2007</v>
      </c>
      <c r="AJ2" s="162">
        <v>2006</v>
      </c>
      <c r="AK2" s="162">
        <v>2005</v>
      </c>
      <c r="AL2" s="162">
        <v>2004</v>
      </c>
      <c r="AM2" s="162">
        <v>2003</v>
      </c>
      <c r="AN2" s="906">
        <v>2002</v>
      </c>
    </row>
    <row r="3" spans="1:40" s="957" customFormat="1" ht="12" thickBot="1">
      <c r="A3" s="604"/>
      <c r="B3" s="1875" t="s">
        <v>100</v>
      </c>
      <c r="C3" s="1876"/>
      <c r="D3" s="1876"/>
      <c r="E3" s="1877"/>
      <c r="F3" s="1877"/>
      <c r="G3" s="1877"/>
      <c r="H3" s="1877"/>
      <c r="I3" s="1878"/>
      <c r="J3" s="1875" t="s">
        <v>69</v>
      </c>
      <c r="K3" s="1876"/>
      <c r="L3" s="1877"/>
      <c r="M3" s="1877"/>
      <c r="N3" s="1877"/>
      <c r="O3" s="1877"/>
      <c r="P3" s="1878"/>
      <c r="Q3" s="1896" t="s">
        <v>127</v>
      </c>
      <c r="R3" s="1880"/>
      <c r="S3" s="1880"/>
      <c r="T3" s="1880"/>
      <c r="U3" s="1880"/>
      <c r="V3" s="1880"/>
      <c r="W3" s="1880"/>
      <c r="X3" s="1881"/>
      <c r="Y3" s="1890" t="s">
        <v>101</v>
      </c>
      <c r="Z3" s="1896"/>
      <c r="AA3" s="1896"/>
      <c r="AB3" s="1896"/>
      <c r="AC3" s="1896"/>
      <c r="AD3" s="1896"/>
      <c r="AE3" s="1896"/>
      <c r="AF3" s="1879"/>
      <c r="AG3" s="1890" t="s">
        <v>116</v>
      </c>
      <c r="AH3" s="1896"/>
      <c r="AI3" s="1896"/>
      <c r="AJ3" s="1896"/>
      <c r="AK3" s="1896"/>
      <c r="AL3" s="1896"/>
      <c r="AM3" s="1896"/>
      <c r="AN3" s="1879"/>
    </row>
    <row r="4" spans="1:40" s="632" customFormat="1" ht="11.25">
      <c r="A4" s="895" t="s">
        <v>13</v>
      </c>
      <c r="B4" s="209">
        <f aca="true" t="shared" si="0" ref="B4:B10">SUM(C4-D4)/D4</f>
        <v>-0.031166948538294274</v>
      </c>
      <c r="C4" s="752">
        <v>8020</v>
      </c>
      <c r="D4" s="752">
        <v>8278</v>
      </c>
      <c r="E4" s="752">
        <v>7126</v>
      </c>
      <c r="F4" s="753">
        <v>6916</v>
      </c>
      <c r="G4" s="753">
        <v>5817</v>
      </c>
      <c r="H4" s="753">
        <v>6249</v>
      </c>
      <c r="I4" s="946">
        <v>3402</v>
      </c>
      <c r="J4" s="141">
        <f aca="true" t="shared" si="1" ref="J4:J10">SUM(K4-L4)/L4</f>
        <v>0.1781701444622793</v>
      </c>
      <c r="K4" s="755">
        <v>5872</v>
      </c>
      <c r="L4" s="948">
        <v>4984</v>
      </c>
      <c r="M4" s="948">
        <v>5186</v>
      </c>
      <c r="N4" s="794">
        <v>4292</v>
      </c>
      <c r="O4" s="794">
        <v>3576</v>
      </c>
      <c r="P4" s="1693">
        <v>2875</v>
      </c>
      <c r="Q4" s="1148">
        <f aca="true" t="shared" si="2" ref="Q4:Q9">SUM(R4-S4)/S4</f>
        <v>0.047504147187452876</v>
      </c>
      <c r="R4" s="518">
        <f>+C4+K4</f>
        <v>13892</v>
      </c>
      <c r="S4" s="518">
        <f aca="true" t="shared" si="3" ref="R4:S16">+D4+L4</f>
        <v>13262</v>
      </c>
      <c r="T4" s="518">
        <f aca="true" t="shared" si="4" ref="T4:T16">+E4+M4</f>
        <v>12312</v>
      </c>
      <c r="U4" s="518">
        <f aca="true" t="shared" si="5" ref="U4:U16">+F4+N4</f>
        <v>11208</v>
      </c>
      <c r="V4" s="518">
        <f aca="true" t="shared" si="6" ref="V4:V16">+G4+O4</f>
        <v>9393</v>
      </c>
      <c r="W4" s="518">
        <f aca="true" t="shared" si="7" ref="W4:W16">+H4+P4</f>
        <v>9124</v>
      </c>
      <c r="X4" s="892">
        <f aca="true" t="shared" si="8" ref="X4:X16">+I4+Q4</f>
        <v>3402.0475041471873</v>
      </c>
      <c r="Y4" s="143">
        <f aca="true" t="shared" si="9" ref="Y4:Y10">SUM(Z4-AA4)/AA4</f>
        <v>-0.11586021505376344</v>
      </c>
      <c r="Z4" s="550">
        <v>3289</v>
      </c>
      <c r="AA4" s="550">
        <v>3720</v>
      </c>
      <c r="AB4" s="1425">
        <v>3397</v>
      </c>
      <c r="AC4" s="550">
        <v>2788</v>
      </c>
      <c r="AD4" s="951">
        <v>3371</v>
      </c>
      <c r="AE4" s="951">
        <v>3612</v>
      </c>
      <c r="AF4" s="1310">
        <v>1916</v>
      </c>
      <c r="AG4" s="1232">
        <f>SUM(AH4-AK4)/AK4</f>
        <v>0.22756501857673622</v>
      </c>
      <c r="AH4" s="197">
        <f>+R4+Z4</f>
        <v>17181</v>
      </c>
      <c r="AI4" s="197">
        <f aca="true" t="shared" si="10" ref="AH4:AI15">+S4+AA4</f>
        <v>16982</v>
      </c>
      <c r="AJ4" s="197">
        <f aca="true" t="shared" si="11" ref="AJ4:AJ15">+T4+AB4</f>
        <v>15709</v>
      </c>
      <c r="AK4" s="197">
        <f aca="true" t="shared" si="12" ref="AK4:AK15">+U4+AC4</f>
        <v>13996</v>
      </c>
      <c r="AL4" s="197">
        <f aca="true" t="shared" si="13" ref="AL4:AL15">+V4+AD4</f>
        <v>12764</v>
      </c>
      <c r="AM4" s="197">
        <f aca="true" t="shared" si="14" ref="AM4:AM15">+W4+AE4</f>
        <v>12736</v>
      </c>
      <c r="AN4" s="198">
        <f aca="true" t="shared" si="15" ref="AN4:AN15">+X4+AF4</f>
        <v>5318.047504147187</v>
      </c>
    </row>
    <row r="5" spans="1:40" s="632" customFormat="1" ht="11.25">
      <c r="A5" s="895" t="s">
        <v>14</v>
      </c>
      <c r="B5" s="218">
        <f t="shared" si="0"/>
        <v>0.3438914027149321</v>
      </c>
      <c r="C5" s="352">
        <v>8019</v>
      </c>
      <c r="D5" s="352">
        <v>5967</v>
      </c>
      <c r="E5" s="352">
        <v>6768</v>
      </c>
      <c r="F5" s="737">
        <v>5446</v>
      </c>
      <c r="G5" s="737">
        <v>5670</v>
      </c>
      <c r="H5" s="737">
        <v>6091</v>
      </c>
      <c r="I5" s="828">
        <v>4840</v>
      </c>
      <c r="J5" s="119">
        <f t="shared" si="1"/>
        <v>0.11868533171028606</v>
      </c>
      <c r="K5" s="353">
        <v>5514</v>
      </c>
      <c r="L5" s="38">
        <v>4929</v>
      </c>
      <c r="M5" s="38">
        <v>3477</v>
      </c>
      <c r="N5" s="123">
        <v>3875</v>
      </c>
      <c r="O5" s="123">
        <v>3089</v>
      </c>
      <c r="P5" s="795">
        <v>2584</v>
      </c>
      <c r="Q5" s="1149">
        <f t="shared" si="2"/>
        <v>0.24201541850220265</v>
      </c>
      <c r="R5" s="246">
        <f t="shared" si="3"/>
        <v>13533</v>
      </c>
      <c r="S5" s="246">
        <f t="shared" si="3"/>
        <v>10896</v>
      </c>
      <c r="T5" s="246">
        <f t="shared" si="4"/>
        <v>10245</v>
      </c>
      <c r="U5" s="246">
        <f t="shared" si="5"/>
        <v>9321</v>
      </c>
      <c r="V5" s="246">
        <f t="shared" si="6"/>
        <v>8759</v>
      </c>
      <c r="W5" s="246">
        <f t="shared" si="7"/>
        <v>8675</v>
      </c>
      <c r="X5" s="893">
        <f t="shared" si="8"/>
        <v>4840.242015418502</v>
      </c>
      <c r="Y5" s="132">
        <f t="shared" si="9"/>
        <v>-0.08466453674121406</v>
      </c>
      <c r="Z5" s="329">
        <v>2292</v>
      </c>
      <c r="AA5" s="329">
        <v>2504</v>
      </c>
      <c r="AB5" s="274">
        <v>2736</v>
      </c>
      <c r="AC5" s="329">
        <v>2303</v>
      </c>
      <c r="AD5" s="328">
        <v>1653</v>
      </c>
      <c r="AE5" s="328">
        <v>3347</v>
      </c>
      <c r="AF5" s="1311">
        <v>2834</v>
      </c>
      <c r="AG5" s="120">
        <f aca="true" t="shared" si="16" ref="AG5:AG10">SUM(AH5-AI5)/AI5</f>
        <v>0.18097014925373134</v>
      </c>
      <c r="AH5" s="121">
        <f t="shared" si="10"/>
        <v>15825</v>
      </c>
      <c r="AI5" s="121">
        <f t="shared" si="10"/>
        <v>13400</v>
      </c>
      <c r="AJ5" s="121">
        <f t="shared" si="11"/>
        <v>12981</v>
      </c>
      <c r="AK5" s="121">
        <f t="shared" si="12"/>
        <v>11624</v>
      </c>
      <c r="AL5" s="121">
        <f t="shared" si="13"/>
        <v>10412</v>
      </c>
      <c r="AM5" s="121">
        <f t="shared" si="14"/>
        <v>12022</v>
      </c>
      <c r="AN5" s="122">
        <f t="shared" si="15"/>
        <v>7674.242015418502</v>
      </c>
    </row>
    <row r="6" spans="1:40" s="632" customFormat="1" ht="11.25">
      <c r="A6" s="895" t="s">
        <v>15</v>
      </c>
      <c r="B6" s="218">
        <f t="shared" si="0"/>
        <v>0.1182373976237167</v>
      </c>
      <c r="C6" s="352">
        <v>9694</v>
      </c>
      <c r="D6" s="352">
        <v>8669</v>
      </c>
      <c r="E6" s="352">
        <v>8340</v>
      </c>
      <c r="F6" s="737">
        <v>7626</v>
      </c>
      <c r="G6" s="737">
        <v>6590</v>
      </c>
      <c r="H6" s="737">
        <v>5388</v>
      </c>
      <c r="I6" s="828">
        <v>5479</v>
      </c>
      <c r="J6" s="119">
        <f t="shared" si="1"/>
        <v>0.06473724295506474</v>
      </c>
      <c r="K6" s="353">
        <v>6990</v>
      </c>
      <c r="L6" s="38">
        <v>6565</v>
      </c>
      <c r="M6" s="38">
        <v>6404</v>
      </c>
      <c r="N6" s="123">
        <v>4238</v>
      </c>
      <c r="O6" s="123">
        <v>3661</v>
      </c>
      <c r="P6" s="795">
        <v>3454</v>
      </c>
      <c r="Q6" s="1149">
        <f t="shared" si="2"/>
        <v>0.0951818301168439</v>
      </c>
      <c r="R6" s="246">
        <f t="shared" si="3"/>
        <v>16684</v>
      </c>
      <c r="S6" s="246">
        <f t="shared" si="3"/>
        <v>15234</v>
      </c>
      <c r="T6" s="246">
        <f t="shared" si="4"/>
        <v>14744</v>
      </c>
      <c r="U6" s="246">
        <f t="shared" si="5"/>
        <v>11864</v>
      </c>
      <c r="V6" s="246">
        <f t="shared" si="6"/>
        <v>10251</v>
      </c>
      <c r="W6" s="246">
        <f t="shared" si="7"/>
        <v>8842</v>
      </c>
      <c r="X6" s="893">
        <f t="shared" si="8"/>
        <v>5479.095181830116</v>
      </c>
      <c r="Y6" s="132">
        <f t="shared" si="9"/>
        <v>-0.2860754160522435</v>
      </c>
      <c r="Z6" s="329">
        <v>3389</v>
      </c>
      <c r="AA6" s="329">
        <v>4747</v>
      </c>
      <c r="AB6" s="274">
        <v>2980</v>
      </c>
      <c r="AC6" s="329">
        <v>4126</v>
      </c>
      <c r="AD6" s="328">
        <v>2160</v>
      </c>
      <c r="AE6" s="328">
        <v>3013</v>
      </c>
      <c r="AF6" s="1311">
        <v>2158</v>
      </c>
      <c r="AG6" s="120">
        <f t="shared" si="16"/>
        <v>0.004604374155447675</v>
      </c>
      <c r="AH6" s="121">
        <f t="shared" si="10"/>
        <v>20073</v>
      </c>
      <c r="AI6" s="121">
        <f t="shared" si="10"/>
        <v>19981</v>
      </c>
      <c r="AJ6" s="121">
        <f t="shared" si="11"/>
        <v>17724</v>
      </c>
      <c r="AK6" s="121">
        <f t="shared" si="12"/>
        <v>15990</v>
      </c>
      <c r="AL6" s="121">
        <f t="shared" si="13"/>
        <v>12411</v>
      </c>
      <c r="AM6" s="121">
        <f t="shared" si="14"/>
        <v>11855</v>
      </c>
      <c r="AN6" s="122">
        <f t="shared" si="15"/>
        <v>7637.095181830116</v>
      </c>
    </row>
    <row r="7" spans="1:40" s="632" customFormat="1" ht="11.25">
      <c r="A7" s="895" t="s">
        <v>16</v>
      </c>
      <c r="B7" s="218">
        <f t="shared" si="0"/>
        <v>0.2670021567217829</v>
      </c>
      <c r="C7" s="352">
        <v>8812</v>
      </c>
      <c r="D7" s="352">
        <v>6955</v>
      </c>
      <c r="E7" s="352">
        <v>7601</v>
      </c>
      <c r="F7" s="737">
        <v>6481</v>
      </c>
      <c r="G7" s="737">
        <v>6973</v>
      </c>
      <c r="H7" s="737">
        <v>6156</v>
      </c>
      <c r="I7" s="828">
        <v>4914</v>
      </c>
      <c r="J7" s="119">
        <f t="shared" si="1"/>
        <v>0.03291753291753292</v>
      </c>
      <c r="K7" s="353">
        <v>5962</v>
      </c>
      <c r="L7" s="38">
        <v>5772</v>
      </c>
      <c r="M7" s="38">
        <v>4777</v>
      </c>
      <c r="N7" s="123">
        <v>3981</v>
      </c>
      <c r="O7" s="123">
        <v>3555</v>
      </c>
      <c r="P7" s="795">
        <v>3605</v>
      </c>
      <c r="Q7" s="1149">
        <f t="shared" si="2"/>
        <v>0.16083916083916083</v>
      </c>
      <c r="R7" s="246">
        <f>+C7+K7</f>
        <v>14774</v>
      </c>
      <c r="S7" s="246">
        <f t="shared" si="3"/>
        <v>12727</v>
      </c>
      <c r="T7" s="246">
        <f t="shared" si="4"/>
        <v>12378</v>
      </c>
      <c r="U7" s="246">
        <f t="shared" si="5"/>
        <v>10462</v>
      </c>
      <c r="V7" s="246">
        <f t="shared" si="6"/>
        <v>10528</v>
      </c>
      <c r="W7" s="246">
        <f t="shared" si="7"/>
        <v>9761</v>
      </c>
      <c r="X7" s="893">
        <f t="shared" si="8"/>
        <v>4914.160839160839</v>
      </c>
      <c r="Y7" s="132">
        <f t="shared" si="9"/>
        <v>-0.10858294930875576</v>
      </c>
      <c r="Z7" s="329">
        <v>3095</v>
      </c>
      <c r="AA7" s="329">
        <v>3472</v>
      </c>
      <c r="AB7" s="274">
        <v>2642</v>
      </c>
      <c r="AC7" s="329">
        <v>1870</v>
      </c>
      <c r="AD7" s="328">
        <v>3731</v>
      </c>
      <c r="AE7" s="328">
        <v>2533</v>
      </c>
      <c r="AF7" s="1311">
        <v>2249</v>
      </c>
      <c r="AG7" s="120">
        <f t="shared" si="16"/>
        <v>0.10309278350515463</v>
      </c>
      <c r="AH7" s="121">
        <f>+R7+Z7</f>
        <v>17869</v>
      </c>
      <c r="AI7" s="121">
        <f t="shared" si="10"/>
        <v>16199</v>
      </c>
      <c r="AJ7" s="121">
        <f t="shared" si="11"/>
        <v>15020</v>
      </c>
      <c r="AK7" s="121">
        <f t="shared" si="12"/>
        <v>12332</v>
      </c>
      <c r="AL7" s="121">
        <f t="shared" si="13"/>
        <v>14259</v>
      </c>
      <c r="AM7" s="121">
        <f t="shared" si="14"/>
        <v>12294</v>
      </c>
      <c r="AN7" s="122">
        <f t="shared" si="15"/>
        <v>7163.160839160839</v>
      </c>
    </row>
    <row r="8" spans="1:40" s="632" customFormat="1" ht="11.25">
      <c r="A8" s="895" t="s">
        <v>17</v>
      </c>
      <c r="B8" s="218">
        <f t="shared" si="0"/>
        <v>-0.14927714894093916</v>
      </c>
      <c r="C8" s="352">
        <v>7591</v>
      </c>
      <c r="D8" s="352">
        <v>8923</v>
      </c>
      <c r="E8" s="352">
        <v>7500</v>
      </c>
      <c r="F8" s="737">
        <v>7855</v>
      </c>
      <c r="G8" s="737">
        <v>8052</v>
      </c>
      <c r="H8" s="737">
        <v>5362</v>
      </c>
      <c r="I8" s="828">
        <v>6580</v>
      </c>
      <c r="J8" s="119">
        <f t="shared" si="1"/>
        <v>-0.6256419662509171</v>
      </c>
      <c r="K8" s="353">
        <v>2041</v>
      </c>
      <c r="L8" s="1692">
        <v>5452</v>
      </c>
      <c r="M8" s="38">
        <v>4934</v>
      </c>
      <c r="N8" s="123">
        <v>4969</v>
      </c>
      <c r="O8" s="123">
        <v>3221</v>
      </c>
      <c r="P8" s="795">
        <v>3573</v>
      </c>
      <c r="Q8" s="1149">
        <f t="shared" si="2"/>
        <v>-0.3299478260869565</v>
      </c>
      <c r="R8" s="246">
        <f>+C8+K8</f>
        <v>9632</v>
      </c>
      <c r="S8" s="246">
        <f t="shared" si="3"/>
        <v>14375</v>
      </c>
      <c r="T8" s="246">
        <f t="shared" si="4"/>
        <v>12434</v>
      </c>
      <c r="U8" s="246">
        <f t="shared" si="5"/>
        <v>12824</v>
      </c>
      <c r="V8" s="246">
        <f t="shared" si="6"/>
        <v>11273</v>
      </c>
      <c r="W8" s="246">
        <f t="shared" si="7"/>
        <v>8935</v>
      </c>
      <c r="X8" s="893">
        <f t="shared" si="8"/>
        <v>6579.670052173913</v>
      </c>
      <c r="Y8" s="132">
        <f t="shared" si="9"/>
        <v>-0.31090133982947626</v>
      </c>
      <c r="Z8" s="329">
        <v>2263</v>
      </c>
      <c r="AA8" s="329">
        <v>3284</v>
      </c>
      <c r="AB8" s="274">
        <v>4202</v>
      </c>
      <c r="AC8" s="329">
        <v>3476</v>
      </c>
      <c r="AD8" s="328">
        <v>3125</v>
      </c>
      <c r="AE8" s="328">
        <v>1440</v>
      </c>
      <c r="AF8" s="1311">
        <v>3035</v>
      </c>
      <c r="AG8" s="120">
        <f t="shared" si="16"/>
        <v>-0.3264057987428507</v>
      </c>
      <c r="AH8" s="121">
        <f>+R8+Z8</f>
        <v>11895</v>
      </c>
      <c r="AI8" s="121">
        <f t="shared" si="10"/>
        <v>17659</v>
      </c>
      <c r="AJ8" s="121">
        <f t="shared" si="11"/>
        <v>16636</v>
      </c>
      <c r="AK8" s="121">
        <f t="shared" si="12"/>
        <v>16300</v>
      </c>
      <c r="AL8" s="121">
        <f t="shared" si="13"/>
        <v>14398</v>
      </c>
      <c r="AM8" s="121">
        <f t="shared" si="14"/>
        <v>10375</v>
      </c>
      <c r="AN8" s="122">
        <f t="shared" si="15"/>
        <v>9614.670052173913</v>
      </c>
    </row>
    <row r="9" spans="1:40" s="632" customFormat="1" ht="11.25">
      <c r="A9" s="895" t="s">
        <v>18</v>
      </c>
      <c r="B9" s="218">
        <f t="shared" si="0"/>
        <v>0.02114139068801173</v>
      </c>
      <c r="C9" s="352">
        <v>8356</v>
      </c>
      <c r="D9" s="737">
        <v>8183</v>
      </c>
      <c r="E9" s="737">
        <v>7989</v>
      </c>
      <c r="F9" s="737">
        <v>7990</v>
      </c>
      <c r="G9" s="737">
        <v>6895</v>
      </c>
      <c r="H9" s="737">
        <v>5575</v>
      </c>
      <c r="I9" s="828">
        <v>4956</v>
      </c>
      <c r="J9" s="119">
        <f t="shared" si="1"/>
        <v>-0.19242343777659762</v>
      </c>
      <c r="K9" s="353">
        <v>4562</v>
      </c>
      <c r="L9" s="1692">
        <v>5649</v>
      </c>
      <c r="M9" s="123">
        <v>5948</v>
      </c>
      <c r="N9" s="123">
        <v>4127</v>
      </c>
      <c r="O9" s="123">
        <v>3990</v>
      </c>
      <c r="P9" s="795">
        <v>4005</v>
      </c>
      <c r="Q9" s="1149">
        <f t="shared" si="2"/>
        <v>-0.06607865818392133</v>
      </c>
      <c r="R9" s="246">
        <f>+C9+K9</f>
        <v>12918</v>
      </c>
      <c r="S9" s="246">
        <f t="shared" si="3"/>
        <v>13832</v>
      </c>
      <c r="T9" s="246">
        <f t="shared" si="4"/>
        <v>13937</v>
      </c>
      <c r="U9" s="246">
        <f t="shared" si="5"/>
        <v>12117</v>
      </c>
      <c r="V9" s="246">
        <f t="shared" si="6"/>
        <v>10885</v>
      </c>
      <c r="W9" s="246">
        <f t="shared" si="7"/>
        <v>9580</v>
      </c>
      <c r="X9" s="893">
        <f t="shared" si="8"/>
        <v>4955.933921341816</v>
      </c>
      <c r="Y9" s="132">
        <f t="shared" si="9"/>
        <v>0.25462077756532825</v>
      </c>
      <c r="Z9" s="329">
        <v>3937</v>
      </c>
      <c r="AA9" s="328">
        <v>3138</v>
      </c>
      <c r="AB9" s="222">
        <v>3486</v>
      </c>
      <c r="AC9" s="328">
        <v>3171</v>
      </c>
      <c r="AD9" s="328">
        <v>2507</v>
      </c>
      <c r="AE9" s="328">
        <v>3081</v>
      </c>
      <c r="AF9" s="1311">
        <v>2444</v>
      </c>
      <c r="AG9" s="120">
        <f t="shared" si="16"/>
        <v>-0.006776664702416028</v>
      </c>
      <c r="AH9" s="121">
        <f>+R9+Z9</f>
        <v>16855</v>
      </c>
      <c r="AI9" s="121">
        <f t="shared" si="10"/>
        <v>16970</v>
      </c>
      <c r="AJ9" s="121">
        <f t="shared" si="11"/>
        <v>17423</v>
      </c>
      <c r="AK9" s="121">
        <f t="shared" si="12"/>
        <v>15288</v>
      </c>
      <c r="AL9" s="121">
        <f t="shared" si="13"/>
        <v>13392</v>
      </c>
      <c r="AM9" s="121">
        <f t="shared" si="14"/>
        <v>12661</v>
      </c>
      <c r="AN9" s="122">
        <f t="shared" si="15"/>
        <v>7399.933921341816</v>
      </c>
    </row>
    <row r="10" spans="1:40" s="632" customFormat="1" ht="11.25">
      <c r="A10" s="895" t="s">
        <v>19</v>
      </c>
      <c r="B10" s="218">
        <f t="shared" si="0"/>
        <v>-0.0929936305732484</v>
      </c>
      <c r="C10" s="352">
        <v>9968</v>
      </c>
      <c r="D10" s="737">
        <v>10990</v>
      </c>
      <c r="E10" s="737">
        <v>8207</v>
      </c>
      <c r="F10" s="737">
        <v>7088</v>
      </c>
      <c r="G10" s="737">
        <v>7489</v>
      </c>
      <c r="H10" s="737">
        <v>7485</v>
      </c>
      <c r="I10" s="828">
        <v>6808</v>
      </c>
      <c r="J10" s="119">
        <f t="shared" si="1"/>
        <v>0.09892188386608662</v>
      </c>
      <c r="K10" s="353">
        <v>5810</v>
      </c>
      <c r="L10" s="39">
        <v>5287</v>
      </c>
      <c r="M10" s="123">
        <v>4442</v>
      </c>
      <c r="N10" s="123">
        <v>4867</v>
      </c>
      <c r="O10" s="123">
        <v>4223</v>
      </c>
      <c r="P10" s="795">
        <v>3000</v>
      </c>
      <c r="Q10" s="1149">
        <f>SUM(R10-S10)/S10</f>
        <v>-0.030656754930269706</v>
      </c>
      <c r="R10" s="246">
        <f>+C10+K10</f>
        <v>15778</v>
      </c>
      <c r="S10" s="246">
        <f t="shared" si="3"/>
        <v>16277</v>
      </c>
      <c r="T10" s="246">
        <f t="shared" si="4"/>
        <v>12649</v>
      </c>
      <c r="U10" s="246">
        <f t="shared" si="5"/>
        <v>11955</v>
      </c>
      <c r="V10" s="246">
        <f t="shared" si="6"/>
        <v>11712</v>
      </c>
      <c r="W10" s="246">
        <f t="shared" si="7"/>
        <v>10485</v>
      </c>
      <c r="X10" s="893">
        <f t="shared" si="8"/>
        <v>6807.9693432450695</v>
      </c>
      <c r="Y10" s="132">
        <f t="shared" si="9"/>
        <v>0.7110067814293166</v>
      </c>
      <c r="Z10" s="329">
        <v>6560</v>
      </c>
      <c r="AA10" s="328">
        <v>3834</v>
      </c>
      <c r="AB10" s="222">
        <v>3742</v>
      </c>
      <c r="AC10" s="328">
        <v>2736</v>
      </c>
      <c r="AD10" s="328">
        <v>2831</v>
      </c>
      <c r="AE10" s="328">
        <v>3563</v>
      </c>
      <c r="AF10" s="1311">
        <v>2390</v>
      </c>
      <c r="AG10" s="120">
        <f t="shared" si="16"/>
        <v>0.11073541842772612</v>
      </c>
      <c r="AH10" s="121">
        <f>+R10+Z10</f>
        <v>22338</v>
      </c>
      <c r="AI10" s="121">
        <f t="shared" si="10"/>
        <v>20111</v>
      </c>
      <c r="AJ10" s="121">
        <f t="shared" si="11"/>
        <v>16391</v>
      </c>
      <c r="AK10" s="121">
        <f t="shared" si="12"/>
        <v>14691</v>
      </c>
      <c r="AL10" s="121">
        <f t="shared" si="13"/>
        <v>14543</v>
      </c>
      <c r="AM10" s="121">
        <f t="shared" si="14"/>
        <v>14048</v>
      </c>
      <c r="AN10" s="122">
        <f t="shared" si="15"/>
        <v>9197.96934324507</v>
      </c>
    </row>
    <row r="11" spans="1:40" s="632" customFormat="1" ht="11.25">
      <c r="A11" s="895" t="s">
        <v>20</v>
      </c>
      <c r="B11" s="218"/>
      <c r="C11" s="737"/>
      <c r="D11" s="737">
        <v>10746</v>
      </c>
      <c r="E11" s="352">
        <v>7076</v>
      </c>
      <c r="F11" s="737">
        <v>7770</v>
      </c>
      <c r="G11" s="737">
        <v>7906</v>
      </c>
      <c r="H11" s="737">
        <v>6859</v>
      </c>
      <c r="I11" s="828">
        <v>7708</v>
      </c>
      <c r="J11" s="119"/>
      <c r="K11" s="541"/>
      <c r="L11" s="1692">
        <v>4073</v>
      </c>
      <c r="M11" s="123">
        <v>5323</v>
      </c>
      <c r="N11" s="123">
        <v>4028</v>
      </c>
      <c r="O11" s="123">
        <v>3841</v>
      </c>
      <c r="P11" s="795">
        <v>2964</v>
      </c>
      <c r="Q11" s="1149"/>
      <c r="R11" s="741"/>
      <c r="S11" s="246">
        <f t="shared" si="3"/>
        <v>14819</v>
      </c>
      <c r="T11" s="246">
        <f t="shared" si="4"/>
        <v>12399</v>
      </c>
      <c r="U11" s="246">
        <f t="shared" si="5"/>
        <v>11798</v>
      </c>
      <c r="V11" s="246">
        <f t="shared" si="6"/>
        <v>11747</v>
      </c>
      <c r="W11" s="246">
        <f t="shared" si="7"/>
        <v>9823</v>
      </c>
      <c r="X11" s="893">
        <f t="shared" si="8"/>
        <v>7708</v>
      </c>
      <c r="Y11" s="132"/>
      <c r="Z11" s="542"/>
      <c r="AA11" s="328">
        <v>5166</v>
      </c>
      <c r="AB11" s="222">
        <v>3033</v>
      </c>
      <c r="AC11" s="328">
        <v>4132</v>
      </c>
      <c r="AD11" s="328">
        <v>3695</v>
      </c>
      <c r="AE11" s="328">
        <v>3275</v>
      </c>
      <c r="AF11" s="1311">
        <v>5240</v>
      </c>
      <c r="AG11" s="1233"/>
      <c r="AH11" s="735"/>
      <c r="AI11" s="121">
        <f t="shared" si="10"/>
        <v>19985</v>
      </c>
      <c r="AJ11" s="121">
        <f t="shared" si="11"/>
        <v>15432</v>
      </c>
      <c r="AK11" s="121">
        <f t="shared" si="12"/>
        <v>15930</v>
      </c>
      <c r="AL11" s="121">
        <f t="shared" si="13"/>
        <v>15442</v>
      </c>
      <c r="AM11" s="121">
        <f t="shared" si="14"/>
        <v>13098</v>
      </c>
      <c r="AN11" s="122">
        <f t="shared" si="15"/>
        <v>12948</v>
      </c>
    </row>
    <row r="12" spans="1:40" s="632" customFormat="1" ht="11.25">
      <c r="A12" s="895" t="s">
        <v>21</v>
      </c>
      <c r="B12" s="218"/>
      <c r="C12" s="352"/>
      <c r="D12" s="352">
        <v>8912</v>
      </c>
      <c r="E12" s="737">
        <v>8523</v>
      </c>
      <c r="F12" s="737">
        <v>7372</v>
      </c>
      <c r="G12" s="737">
        <v>7645</v>
      </c>
      <c r="H12" s="737">
        <v>5795</v>
      </c>
      <c r="I12" s="828">
        <v>6039</v>
      </c>
      <c r="J12" s="119"/>
      <c r="K12" s="353"/>
      <c r="L12" s="39">
        <v>5157</v>
      </c>
      <c r="M12" s="123">
        <v>5159</v>
      </c>
      <c r="N12" s="123">
        <v>4440</v>
      </c>
      <c r="O12" s="123">
        <v>3776</v>
      </c>
      <c r="P12" s="795">
        <v>2636</v>
      </c>
      <c r="Q12" s="1149"/>
      <c r="R12" s="740"/>
      <c r="S12" s="246">
        <f t="shared" si="3"/>
        <v>14069</v>
      </c>
      <c r="T12" s="246">
        <f t="shared" si="4"/>
        <v>13682</v>
      </c>
      <c r="U12" s="246">
        <f t="shared" si="5"/>
        <v>11812</v>
      </c>
      <c r="V12" s="246">
        <f t="shared" si="6"/>
        <v>11421</v>
      </c>
      <c r="W12" s="246">
        <f t="shared" si="7"/>
        <v>8431</v>
      </c>
      <c r="X12" s="893">
        <f t="shared" si="8"/>
        <v>6039</v>
      </c>
      <c r="Y12" s="132"/>
      <c r="Z12" s="329"/>
      <c r="AA12" s="328">
        <v>4902</v>
      </c>
      <c r="AB12" s="222">
        <v>4246</v>
      </c>
      <c r="AC12" s="328">
        <v>2183</v>
      </c>
      <c r="AD12" s="328">
        <v>3730</v>
      </c>
      <c r="AE12" s="328">
        <v>3320</v>
      </c>
      <c r="AF12" s="1311">
        <v>2866</v>
      </c>
      <c r="AG12" s="1233"/>
      <c r="AH12" s="734"/>
      <c r="AI12" s="121">
        <f t="shared" si="10"/>
        <v>18971</v>
      </c>
      <c r="AJ12" s="121">
        <f t="shared" si="11"/>
        <v>17928</v>
      </c>
      <c r="AK12" s="121">
        <f t="shared" si="12"/>
        <v>13995</v>
      </c>
      <c r="AL12" s="121">
        <f t="shared" si="13"/>
        <v>15151</v>
      </c>
      <c r="AM12" s="121">
        <f t="shared" si="14"/>
        <v>11751</v>
      </c>
      <c r="AN12" s="122">
        <f t="shared" si="15"/>
        <v>8905</v>
      </c>
    </row>
    <row r="13" spans="1:40" s="632" customFormat="1" ht="11.25">
      <c r="A13" s="895" t="s">
        <v>22</v>
      </c>
      <c r="B13" s="218"/>
      <c r="C13" s="352"/>
      <c r="D13" s="352">
        <v>9729</v>
      </c>
      <c r="E13" s="352">
        <v>8544</v>
      </c>
      <c r="F13" s="737">
        <v>7571</v>
      </c>
      <c r="G13" s="737">
        <v>6874</v>
      </c>
      <c r="H13" s="737">
        <v>7188</v>
      </c>
      <c r="I13" s="828">
        <v>6383</v>
      </c>
      <c r="J13" s="119"/>
      <c r="K13" s="353"/>
      <c r="L13" s="1692">
        <v>5511</v>
      </c>
      <c r="M13" s="123">
        <v>5075</v>
      </c>
      <c r="N13" s="123">
        <v>4696</v>
      </c>
      <c r="O13" s="123">
        <v>4094</v>
      </c>
      <c r="P13" s="795">
        <v>3393</v>
      </c>
      <c r="Q13" s="1149"/>
      <c r="R13" s="740"/>
      <c r="S13" s="246">
        <f t="shared" si="3"/>
        <v>15240</v>
      </c>
      <c r="T13" s="246">
        <f t="shared" si="4"/>
        <v>13619</v>
      </c>
      <c r="U13" s="246">
        <f t="shared" si="5"/>
        <v>12267</v>
      </c>
      <c r="V13" s="246">
        <f t="shared" si="6"/>
        <v>10968</v>
      </c>
      <c r="W13" s="246">
        <f t="shared" si="7"/>
        <v>10581</v>
      </c>
      <c r="X13" s="893">
        <f t="shared" si="8"/>
        <v>6383</v>
      </c>
      <c r="Y13" s="132"/>
      <c r="Z13" s="329"/>
      <c r="AA13" s="329">
        <v>3515</v>
      </c>
      <c r="AB13" s="222">
        <v>3520</v>
      </c>
      <c r="AC13" s="328">
        <v>2319</v>
      </c>
      <c r="AD13" s="328">
        <v>2003</v>
      </c>
      <c r="AE13" s="328">
        <v>3069</v>
      </c>
      <c r="AF13" s="1311">
        <v>3096</v>
      </c>
      <c r="AG13" s="1233"/>
      <c r="AH13" s="734"/>
      <c r="AI13" s="121">
        <f t="shared" si="10"/>
        <v>18755</v>
      </c>
      <c r="AJ13" s="121">
        <f t="shared" si="11"/>
        <v>17139</v>
      </c>
      <c r="AK13" s="121">
        <f t="shared" si="12"/>
        <v>14586</v>
      </c>
      <c r="AL13" s="121">
        <f t="shared" si="13"/>
        <v>12971</v>
      </c>
      <c r="AM13" s="121">
        <f t="shared" si="14"/>
        <v>13650</v>
      </c>
      <c r="AN13" s="122">
        <f t="shared" si="15"/>
        <v>9479</v>
      </c>
    </row>
    <row r="14" spans="1:40" s="632" customFormat="1" ht="11.25">
      <c r="A14" s="895" t="s">
        <v>23</v>
      </c>
      <c r="B14" s="218"/>
      <c r="C14" s="352"/>
      <c r="D14" s="352">
        <v>9785</v>
      </c>
      <c r="E14" s="352">
        <v>8223</v>
      </c>
      <c r="F14" s="737">
        <v>7076</v>
      </c>
      <c r="G14" s="737">
        <v>7282</v>
      </c>
      <c r="H14" s="737">
        <v>5967</v>
      </c>
      <c r="I14" s="828">
        <v>5701</v>
      </c>
      <c r="J14" s="119"/>
      <c r="K14" s="353"/>
      <c r="L14" s="1692">
        <v>6357</v>
      </c>
      <c r="M14" s="123">
        <v>6004</v>
      </c>
      <c r="N14" s="123">
        <v>4729</v>
      </c>
      <c r="O14" s="123">
        <v>4833</v>
      </c>
      <c r="P14" s="795">
        <v>3183</v>
      </c>
      <c r="Q14" s="1149"/>
      <c r="R14" s="740"/>
      <c r="S14" s="246">
        <f t="shared" si="3"/>
        <v>16142</v>
      </c>
      <c r="T14" s="246">
        <f t="shared" si="4"/>
        <v>14227</v>
      </c>
      <c r="U14" s="246">
        <f t="shared" si="5"/>
        <v>11805</v>
      </c>
      <c r="V14" s="246">
        <f t="shared" si="6"/>
        <v>12115</v>
      </c>
      <c r="W14" s="246">
        <f t="shared" si="7"/>
        <v>9150</v>
      </c>
      <c r="X14" s="893">
        <f t="shared" si="8"/>
        <v>5701</v>
      </c>
      <c r="Y14" s="132"/>
      <c r="Z14" s="329"/>
      <c r="AA14" s="329">
        <v>4489</v>
      </c>
      <c r="AB14" s="222">
        <v>4041</v>
      </c>
      <c r="AC14" s="328">
        <v>4361</v>
      </c>
      <c r="AD14" s="328">
        <v>4363</v>
      </c>
      <c r="AE14" s="328">
        <v>1572</v>
      </c>
      <c r="AF14" s="1311">
        <v>2132</v>
      </c>
      <c r="AG14" s="1233"/>
      <c r="AH14" s="734"/>
      <c r="AI14" s="121">
        <f t="shared" si="10"/>
        <v>20631</v>
      </c>
      <c r="AJ14" s="121">
        <f t="shared" si="11"/>
        <v>18268</v>
      </c>
      <c r="AK14" s="121">
        <f t="shared" si="12"/>
        <v>16166</v>
      </c>
      <c r="AL14" s="121">
        <f t="shared" si="13"/>
        <v>16478</v>
      </c>
      <c r="AM14" s="121">
        <f t="shared" si="14"/>
        <v>10722</v>
      </c>
      <c r="AN14" s="122">
        <f t="shared" si="15"/>
        <v>7833</v>
      </c>
    </row>
    <row r="15" spans="1:40" s="632" customFormat="1" ht="12" thickBot="1">
      <c r="A15" s="896" t="s">
        <v>24</v>
      </c>
      <c r="B15" s="560"/>
      <c r="C15" s="387"/>
      <c r="D15" s="387">
        <v>8628</v>
      </c>
      <c r="E15" s="387">
        <v>7038</v>
      </c>
      <c r="F15" s="773">
        <v>7384</v>
      </c>
      <c r="G15" s="773">
        <v>6604</v>
      </c>
      <c r="H15" s="773">
        <v>6528</v>
      </c>
      <c r="I15" s="947">
        <v>7318</v>
      </c>
      <c r="J15" s="495"/>
      <c r="K15" s="385"/>
      <c r="L15" s="1694">
        <v>6296</v>
      </c>
      <c r="M15" s="796">
        <v>5248</v>
      </c>
      <c r="N15" s="796">
        <v>4830</v>
      </c>
      <c r="O15" s="796">
        <v>4128</v>
      </c>
      <c r="P15" s="797">
        <v>3607</v>
      </c>
      <c r="Q15" s="1150"/>
      <c r="R15" s="939"/>
      <c r="S15" s="520">
        <f t="shared" si="3"/>
        <v>14924</v>
      </c>
      <c r="T15" s="520">
        <f t="shared" si="4"/>
        <v>12286</v>
      </c>
      <c r="U15" s="520">
        <f t="shared" si="5"/>
        <v>12214</v>
      </c>
      <c r="V15" s="520">
        <f t="shared" si="6"/>
        <v>10732</v>
      </c>
      <c r="W15" s="520">
        <f t="shared" si="7"/>
        <v>10135</v>
      </c>
      <c r="X15" s="894">
        <f t="shared" si="8"/>
        <v>7318</v>
      </c>
      <c r="Y15" s="516"/>
      <c r="Z15" s="955"/>
      <c r="AA15" s="955">
        <v>2725</v>
      </c>
      <c r="AB15" s="955">
        <v>3159</v>
      </c>
      <c r="AC15" s="553">
        <v>4561</v>
      </c>
      <c r="AD15" s="553">
        <v>2042</v>
      </c>
      <c r="AE15" s="553">
        <v>2819</v>
      </c>
      <c r="AF15" s="1312">
        <v>2735</v>
      </c>
      <c r="AG15" s="1309"/>
      <c r="AH15" s="956"/>
      <c r="AI15" s="555">
        <f t="shared" si="10"/>
        <v>17649</v>
      </c>
      <c r="AJ15" s="555">
        <f t="shared" si="11"/>
        <v>15445</v>
      </c>
      <c r="AK15" s="555">
        <f t="shared" si="12"/>
        <v>16775</v>
      </c>
      <c r="AL15" s="555">
        <f t="shared" si="13"/>
        <v>12774</v>
      </c>
      <c r="AM15" s="555">
        <f t="shared" si="14"/>
        <v>12954</v>
      </c>
      <c r="AN15" s="556">
        <f t="shared" si="15"/>
        <v>10053</v>
      </c>
    </row>
    <row r="16" spans="1:40" s="957" customFormat="1" ht="11.25">
      <c r="A16" s="655" t="s">
        <v>25</v>
      </c>
      <c r="B16" s="396">
        <f>SUM(C16-D16)/D16</f>
        <v>0.043043215733632366</v>
      </c>
      <c r="C16" s="746">
        <f>SUM(C4:C10)</f>
        <v>60460</v>
      </c>
      <c r="D16" s="746">
        <f aca="true" t="shared" si="17" ref="D16:I16">SUM(D4:D10)</f>
        <v>57965</v>
      </c>
      <c r="E16" s="746">
        <f t="shared" si="17"/>
        <v>53531</v>
      </c>
      <c r="F16" s="746">
        <f t="shared" si="17"/>
        <v>49402</v>
      </c>
      <c r="G16" s="746">
        <f t="shared" si="17"/>
        <v>47486</v>
      </c>
      <c r="H16" s="746">
        <f t="shared" si="17"/>
        <v>42306</v>
      </c>
      <c r="I16" s="746">
        <f t="shared" si="17"/>
        <v>36979</v>
      </c>
      <c r="J16" s="588">
        <f>SUM(K16-L16)/L16</f>
        <v>-0.048837931569957034</v>
      </c>
      <c r="K16" s="707">
        <f>SUM(K4:K10)</f>
        <v>36751</v>
      </c>
      <c r="L16" s="707">
        <f aca="true" t="shared" si="18" ref="L16:Q16">SUM(L4:L10)</f>
        <v>38638</v>
      </c>
      <c r="M16" s="707">
        <f t="shared" si="18"/>
        <v>35168</v>
      </c>
      <c r="N16" s="707">
        <f t="shared" si="18"/>
        <v>30349</v>
      </c>
      <c r="O16" s="707">
        <f t="shared" si="18"/>
        <v>25315</v>
      </c>
      <c r="P16" s="707">
        <f t="shared" si="18"/>
        <v>23096</v>
      </c>
      <c r="Q16" s="746">
        <f t="shared" si="18"/>
        <v>0.11885731744451272</v>
      </c>
      <c r="R16" s="399">
        <f>+C16+K16</f>
        <v>97211</v>
      </c>
      <c r="S16" s="399">
        <f t="shared" si="3"/>
        <v>96603</v>
      </c>
      <c r="T16" s="399">
        <f t="shared" si="4"/>
        <v>88699</v>
      </c>
      <c r="U16" s="399">
        <f t="shared" si="5"/>
        <v>79751</v>
      </c>
      <c r="V16" s="399">
        <f t="shared" si="6"/>
        <v>72801</v>
      </c>
      <c r="W16" s="399">
        <f t="shared" si="7"/>
        <v>65402</v>
      </c>
      <c r="X16" s="400">
        <f t="shared" si="8"/>
        <v>36979.118857317444</v>
      </c>
      <c r="Y16" s="396">
        <f>SUM(Z16-AA16)/AA16</f>
        <v>0.005101421110166404</v>
      </c>
      <c r="Z16" s="746">
        <f>SUM(Z4:Z10)</f>
        <v>24825</v>
      </c>
      <c r="AA16" s="746">
        <f aca="true" t="shared" si="19" ref="AA16:AF16">SUM(AA4:AA10)</f>
        <v>24699</v>
      </c>
      <c r="AB16" s="746">
        <f t="shared" si="19"/>
        <v>23185</v>
      </c>
      <c r="AC16" s="746">
        <f t="shared" si="19"/>
        <v>20470</v>
      </c>
      <c r="AD16" s="746">
        <f t="shared" si="19"/>
        <v>19378</v>
      </c>
      <c r="AE16" s="746">
        <f t="shared" si="19"/>
        <v>20589</v>
      </c>
      <c r="AF16" s="746">
        <f t="shared" si="19"/>
        <v>17026</v>
      </c>
      <c r="AG16" s="396">
        <f>SUM(AH16-AI16)/AI16</f>
        <v>0.0060510131737316775</v>
      </c>
      <c r="AH16" s="399">
        <f aca="true" t="shared" si="20" ref="AH16:AM16">+R16+Z16</f>
        <v>122036</v>
      </c>
      <c r="AI16" s="399">
        <f t="shared" si="20"/>
        <v>121302</v>
      </c>
      <c r="AJ16" s="399">
        <f t="shared" si="20"/>
        <v>111884</v>
      </c>
      <c r="AK16" s="399">
        <f t="shared" si="20"/>
        <v>100221</v>
      </c>
      <c r="AL16" s="399">
        <f t="shared" si="20"/>
        <v>92179</v>
      </c>
      <c r="AM16" s="399">
        <f t="shared" si="20"/>
        <v>85991</v>
      </c>
      <c r="AN16" s="801">
        <f>SUM(AN4:AN15)</f>
        <v>103223.11885731744</v>
      </c>
    </row>
    <row r="17" spans="1:40" s="957" customFormat="1" ht="12" thickBot="1">
      <c r="A17" s="548" t="s">
        <v>28</v>
      </c>
      <c r="B17" s="558">
        <f>SUM(C17-D17)/D17</f>
        <v>-0.020037684624268116</v>
      </c>
      <c r="C17" s="102">
        <f aca="true" t="shared" si="21" ref="C17:I17">AVERAGE(C4:C15)</f>
        <v>8637.142857142857</v>
      </c>
      <c r="D17" s="102">
        <f>AVERAGE(D4:D15)</f>
        <v>8813.75</v>
      </c>
      <c r="E17" s="102">
        <f t="shared" si="21"/>
        <v>7744.583333333333</v>
      </c>
      <c r="F17" s="102">
        <f t="shared" si="21"/>
        <v>7214.583333333333</v>
      </c>
      <c r="G17" s="102">
        <f t="shared" si="21"/>
        <v>6983.083333333333</v>
      </c>
      <c r="H17" s="102">
        <f t="shared" si="21"/>
        <v>6220.25</v>
      </c>
      <c r="I17" s="312">
        <f t="shared" si="21"/>
        <v>5844</v>
      </c>
      <c r="J17" s="558">
        <f>SUM(K17-L17)/L17</f>
        <v>-0.0458911696493476</v>
      </c>
      <c r="K17" s="102">
        <f aca="true" t="shared" si="22" ref="K17:P17">AVERAGE(K4:K15)</f>
        <v>5250.142857142857</v>
      </c>
      <c r="L17" s="102">
        <f t="shared" si="22"/>
        <v>5502.666666666667</v>
      </c>
      <c r="M17" s="102">
        <f t="shared" si="22"/>
        <v>5164.75</v>
      </c>
      <c r="N17" s="102">
        <f t="shared" si="22"/>
        <v>4422.666666666667</v>
      </c>
      <c r="O17" s="102">
        <f t="shared" si="22"/>
        <v>3832.25</v>
      </c>
      <c r="P17" s="356">
        <f t="shared" si="22"/>
        <v>3239.9166666666665</v>
      </c>
      <c r="Q17" s="558">
        <f>SUM(R17-U17)/U17</f>
        <v>0.19334771653833283</v>
      </c>
      <c r="R17" s="102">
        <f aca="true" t="shared" si="23" ref="R17:X17">AVERAGE(R4:R15)</f>
        <v>13887.285714285714</v>
      </c>
      <c r="S17" s="102">
        <f t="shared" si="23"/>
        <v>14316.416666666666</v>
      </c>
      <c r="T17" s="102">
        <f t="shared" si="23"/>
        <v>12909.333333333334</v>
      </c>
      <c r="U17" s="102">
        <f t="shared" si="23"/>
        <v>11637.25</v>
      </c>
      <c r="V17" s="102">
        <f t="shared" si="23"/>
        <v>10815.333333333334</v>
      </c>
      <c r="W17" s="102">
        <f t="shared" si="23"/>
        <v>9460.166666666666</v>
      </c>
      <c r="X17" s="312">
        <f t="shared" si="23"/>
        <v>5844.009904776453</v>
      </c>
      <c r="Y17" s="558">
        <f>SUM(Z17-AB17)/AB17</f>
        <v>0.03334165834165838</v>
      </c>
      <c r="Z17" s="102">
        <f>AVERAGE(Z4:Z15)</f>
        <v>3546.4285714285716</v>
      </c>
      <c r="AA17" s="102">
        <f aca="true" t="shared" si="24" ref="AA17:AF17">AVERAGE(AA4:AA15)</f>
        <v>3791.3333333333335</v>
      </c>
      <c r="AB17" s="102">
        <f t="shared" si="24"/>
        <v>3432</v>
      </c>
      <c r="AC17" s="102">
        <f t="shared" si="24"/>
        <v>3168.8333333333335</v>
      </c>
      <c r="AD17" s="102">
        <f t="shared" si="24"/>
        <v>2934.25</v>
      </c>
      <c r="AE17" s="102">
        <f t="shared" si="24"/>
        <v>2887</v>
      </c>
      <c r="AF17" s="356">
        <f t="shared" si="24"/>
        <v>2757.9166666666665</v>
      </c>
      <c r="AG17" s="313">
        <f>SUM(AH17-AK17)/AK17</f>
        <v>0.17746968548159497</v>
      </c>
      <c r="AH17" s="102">
        <f>AVERAGE(AH4:AH15)</f>
        <v>17433.714285714286</v>
      </c>
      <c r="AI17" s="295">
        <f aca="true" t="shared" si="25" ref="AI17:AN17">AVERAGE(AI4:AI15)</f>
        <v>18107.75</v>
      </c>
      <c r="AJ17" s="102">
        <f t="shared" si="25"/>
        <v>16341.333333333334</v>
      </c>
      <c r="AK17" s="102">
        <f t="shared" si="25"/>
        <v>14806.083333333334</v>
      </c>
      <c r="AL17" s="102">
        <f t="shared" si="25"/>
        <v>13749.583333333334</v>
      </c>
      <c r="AM17" s="102">
        <f t="shared" si="25"/>
        <v>12347.166666666666</v>
      </c>
      <c r="AN17" s="312">
        <f t="shared" si="25"/>
        <v>8601.92657144312</v>
      </c>
    </row>
  </sheetData>
  <mergeCells count="7">
    <mergeCell ref="A1:A2"/>
    <mergeCell ref="AJ1:AN1"/>
    <mergeCell ref="B3:I3"/>
    <mergeCell ref="J3:P3"/>
    <mergeCell ref="AG3:AN3"/>
    <mergeCell ref="Q3:X3"/>
    <mergeCell ref="Y3:AF3"/>
  </mergeCell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H20" sqref="H20"/>
    </sheetView>
  </sheetViews>
  <sheetFormatPr defaultColWidth="9.140625" defaultRowHeight="12.75"/>
  <cols>
    <col min="1" max="1" width="15.8515625" style="0" customWidth="1"/>
    <col min="2" max="2" width="7.00390625" style="0" bestFit="1" customWidth="1"/>
    <col min="3" max="4" width="6.57421875" style="0" customWidth="1"/>
    <col min="5" max="9" width="6.57421875" style="0" bestFit="1" customWidth="1"/>
    <col min="10" max="10" width="7.00390625" style="0" bestFit="1" customWidth="1"/>
    <col min="11" max="14" width="7.8515625" style="0" bestFit="1" customWidth="1"/>
    <col min="15" max="15" width="9.57421875" style="0" bestFit="1" customWidth="1"/>
    <col min="16" max="17" width="7.8515625" style="0" bestFit="1" customWidth="1"/>
  </cols>
  <sheetData>
    <row r="1" spans="1:17" s="142" customFormat="1" ht="13.5" thickBot="1">
      <c r="A1" s="2034" t="s">
        <v>132</v>
      </c>
      <c r="B1" s="2081"/>
      <c r="C1" s="2082"/>
      <c r="D1" s="2083"/>
      <c r="E1" s="2083"/>
      <c r="F1" s="2083"/>
      <c r="G1" s="2083"/>
      <c r="H1" s="2083"/>
      <c r="I1" s="2083"/>
      <c r="J1" s="2083"/>
      <c r="K1" s="2083"/>
      <c r="L1" s="2083"/>
      <c r="M1" s="2083"/>
      <c r="N1" s="2083"/>
      <c r="O1" s="2083"/>
      <c r="P1" s="2083"/>
      <c r="Q1" s="2083"/>
    </row>
    <row r="2" spans="1:17" s="142" customFormat="1" ht="12" thickBot="1">
      <c r="A2" s="2035"/>
      <c r="B2" s="581" t="s">
        <v>44</v>
      </c>
      <c r="C2" s="346">
        <v>2008</v>
      </c>
      <c r="D2" s="346">
        <v>2007</v>
      </c>
      <c r="E2" s="346">
        <v>2006</v>
      </c>
      <c r="F2" s="346">
        <v>2005</v>
      </c>
      <c r="G2" s="346">
        <v>2004</v>
      </c>
      <c r="H2" s="346">
        <v>2003</v>
      </c>
      <c r="I2" s="347">
        <v>2002</v>
      </c>
      <c r="J2" s="581" t="s">
        <v>44</v>
      </c>
      <c r="K2" s="346">
        <v>2008</v>
      </c>
      <c r="L2" s="346">
        <v>2007</v>
      </c>
      <c r="M2" s="346">
        <v>2006</v>
      </c>
      <c r="N2" s="346">
        <v>2005</v>
      </c>
      <c r="O2" s="346">
        <v>2004</v>
      </c>
      <c r="P2" s="346">
        <v>2003</v>
      </c>
      <c r="Q2" s="347">
        <v>2002</v>
      </c>
    </row>
    <row r="3" spans="1:17" s="142" customFormat="1" ht="17.25" customHeight="1" thickBot="1">
      <c r="A3" s="2036"/>
      <c r="B3" s="1893" t="s">
        <v>51</v>
      </c>
      <c r="C3" s="1884"/>
      <c r="D3" s="1885"/>
      <c r="E3" s="1885"/>
      <c r="F3" s="1885"/>
      <c r="G3" s="1885"/>
      <c r="H3" s="1885"/>
      <c r="I3" s="1886"/>
      <c r="J3" s="1893" t="s">
        <v>143</v>
      </c>
      <c r="K3" s="1884"/>
      <c r="L3" s="1885"/>
      <c r="M3" s="1885"/>
      <c r="N3" s="1885"/>
      <c r="O3" s="1885"/>
      <c r="P3" s="1885"/>
      <c r="Q3" s="1886"/>
    </row>
    <row r="4" spans="1:17" s="142" customFormat="1" ht="11.25">
      <c r="A4" s="325" t="s">
        <v>13</v>
      </c>
      <c r="B4" s="564">
        <f aca="true" t="shared" si="0" ref="B4:B10">SUM(C4-D4)/D4</f>
        <v>-0.2808826644074976</v>
      </c>
      <c r="C4" s="565">
        <v>54325</v>
      </c>
      <c r="D4" s="565">
        <v>75544</v>
      </c>
      <c r="E4" s="565">
        <v>61808</v>
      </c>
      <c r="F4" s="566">
        <v>56906</v>
      </c>
      <c r="G4" s="567">
        <v>36619</v>
      </c>
      <c r="H4" s="567">
        <v>8473</v>
      </c>
      <c r="I4" s="582">
        <v>42716</v>
      </c>
      <c r="J4" s="564">
        <f aca="true" t="shared" si="1" ref="J4:J10">SUM(K4-L4)/L4</f>
        <v>-0.1421223356252986</v>
      </c>
      <c r="K4" s="565">
        <v>307049</v>
      </c>
      <c r="L4" s="565">
        <v>357917</v>
      </c>
      <c r="M4" s="565">
        <v>345888</v>
      </c>
      <c r="N4" s="566">
        <v>410604</v>
      </c>
      <c r="O4" s="567">
        <v>243895</v>
      </c>
      <c r="P4" s="567">
        <v>62883</v>
      </c>
      <c r="Q4" s="582">
        <v>265974</v>
      </c>
    </row>
    <row r="5" spans="1:17" s="142" customFormat="1" ht="11.25">
      <c r="A5" s="229" t="s">
        <v>14</v>
      </c>
      <c r="B5" s="480">
        <f t="shared" si="0"/>
        <v>-0.08826122501322475</v>
      </c>
      <c r="C5" s="481">
        <v>56877</v>
      </c>
      <c r="D5" s="481">
        <v>62383</v>
      </c>
      <c r="E5" s="482">
        <v>59287</v>
      </c>
      <c r="F5" s="488">
        <v>49917</v>
      </c>
      <c r="G5" s="489">
        <v>39221</v>
      </c>
      <c r="H5" s="489">
        <v>27224</v>
      </c>
      <c r="I5" s="490">
        <v>45915</v>
      </c>
      <c r="J5" s="480">
        <f t="shared" si="1"/>
        <v>-0.012259997554115202</v>
      </c>
      <c r="K5" s="481">
        <v>323070</v>
      </c>
      <c r="L5" s="481">
        <v>327080</v>
      </c>
      <c r="M5" s="482">
        <v>379138</v>
      </c>
      <c r="N5" s="488">
        <v>342117</v>
      </c>
      <c r="O5" s="489">
        <v>281263</v>
      </c>
      <c r="P5" s="489">
        <v>188265</v>
      </c>
      <c r="Q5" s="490">
        <v>313351</v>
      </c>
    </row>
    <row r="6" spans="1:17" s="142" customFormat="1" ht="11.25">
      <c r="A6" s="229" t="s">
        <v>15</v>
      </c>
      <c r="B6" s="480">
        <f t="shared" si="0"/>
        <v>-0.13339612971145987</v>
      </c>
      <c r="C6" s="482">
        <v>62561</v>
      </c>
      <c r="D6" s="482">
        <v>72191</v>
      </c>
      <c r="E6" s="482">
        <v>67627</v>
      </c>
      <c r="F6" s="488">
        <v>61346</v>
      </c>
      <c r="G6" s="489">
        <v>43062</v>
      </c>
      <c r="H6" s="489">
        <v>30211</v>
      </c>
      <c r="I6" s="490">
        <v>53588</v>
      </c>
      <c r="J6" s="480">
        <f t="shared" si="1"/>
        <v>-0.14159632565872238</v>
      </c>
      <c r="K6" s="482">
        <v>348002</v>
      </c>
      <c r="L6" s="482">
        <v>405406</v>
      </c>
      <c r="M6" s="482">
        <v>430106</v>
      </c>
      <c r="N6" s="488">
        <v>391290</v>
      </c>
      <c r="O6" s="489">
        <v>302487</v>
      </c>
      <c r="P6" s="489">
        <v>201167</v>
      </c>
      <c r="Q6" s="490">
        <v>361889</v>
      </c>
    </row>
    <row r="7" spans="1:17" s="142" customFormat="1" ht="11.25">
      <c r="A7" s="229" t="s">
        <v>16</v>
      </c>
      <c r="B7" s="480">
        <f t="shared" si="0"/>
        <v>-0.12290878388942744</v>
      </c>
      <c r="C7" s="482">
        <v>56097</v>
      </c>
      <c r="D7" s="482">
        <v>63958</v>
      </c>
      <c r="E7" s="482">
        <v>64467</v>
      </c>
      <c r="F7" s="488">
        <v>55411</v>
      </c>
      <c r="G7" s="489">
        <v>43192</v>
      </c>
      <c r="H7" s="489">
        <v>29290</v>
      </c>
      <c r="I7" s="490">
        <v>44754</v>
      </c>
      <c r="J7" s="480">
        <f t="shared" si="1"/>
        <v>-0.21049069822987712</v>
      </c>
      <c r="K7" s="482">
        <v>297495</v>
      </c>
      <c r="L7" s="482">
        <v>376810</v>
      </c>
      <c r="M7" s="482">
        <v>431936</v>
      </c>
      <c r="N7" s="488">
        <v>371264</v>
      </c>
      <c r="O7" s="489">
        <v>309689</v>
      </c>
      <c r="P7" s="489">
        <v>215058</v>
      </c>
      <c r="Q7" s="490">
        <v>346847</v>
      </c>
    </row>
    <row r="8" spans="1:17" s="142" customFormat="1" ht="11.25">
      <c r="A8" s="229" t="s">
        <v>17</v>
      </c>
      <c r="B8" s="480">
        <f t="shared" si="0"/>
        <v>0.03969866907079443</v>
      </c>
      <c r="C8" s="482">
        <v>68041</v>
      </c>
      <c r="D8" s="482">
        <v>65443</v>
      </c>
      <c r="E8" s="482">
        <v>71838</v>
      </c>
      <c r="F8" s="488">
        <v>66122</v>
      </c>
      <c r="G8" s="489">
        <v>50576</v>
      </c>
      <c r="H8" s="489">
        <v>30099</v>
      </c>
      <c r="I8" s="490">
        <v>46528</v>
      </c>
      <c r="J8" s="480">
        <f t="shared" si="1"/>
        <v>-0.0002471780505891077</v>
      </c>
      <c r="K8" s="482">
        <v>400422</v>
      </c>
      <c r="L8" s="482">
        <v>400521</v>
      </c>
      <c r="M8" s="482">
        <v>473072</v>
      </c>
      <c r="N8" s="488">
        <v>391740</v>
      </c>
      <c r="O8" s="489">
        <v>346420</v>
      </c>
      <c r="P8" s="489">
        <v>226347</v>
      </c>
      <c r="Q8" s="490">
        <v>322470</v>
      </c>
    </row>
    <row r="9" spans="1:17" s="142" customFormat="1" ht="11.25">
      <c r="A9" s="229" t="s">
        <v>18</v>
      </c>
      <c r="B9" s="480">
        <f t="shared" si="0"/>
        <v>0.02995284084916605</v>
      </c>
      <c r="C9" s="489">
        <v>68359</v>
      </c>
      <c r="D9" s="489">
        <v>66371</v>
      </c>
      <c r="E9" s="489">
        <v>69679</v>
      </c>
      <c r="F9" s="489">
        <v>61761</v>
      </c>
      <c r="G9" s="489">
        <v>46034</v>
      </c>
      <c r="H9" s="489">
        <v>30424</v>
      </c>
      <c r="I9" s="490">
        <v>45913</v>
      </c>
      <c r="J9" s="480">
        <f t="shared" si="1"/>
        <v>0.04179972440297847</v>
      </c>
      <c r="K9" s="489">
        <v>412037</v>
      </c>
      <c r="L9" s="489">
        <v>395505</v>
      </c>
      <c r="M9" s="489">
        <v>416492</v>
      </c>
      <c r="N9" s="489">
        <v>395075</v>
      </c>
      <c r="O9" s="489">
        <v>317434</v>
      </c>
      <c r="P9" s="489">
        <v>242898</v>
      </c>
      <c r="Q9" s="490">
        <v>319457</v>
      </c>
    </row>
    <row r="10" spans="1:17" s="142" customFormat="1" ht="11.25">
      <c r="A10" s="229" t="s">
        <v>19</v>
      </c>
      <c r="B10" s="480">
        <f t="shared" si="0"/>
        <v>-0.07672366388226977</v>
      </c>
      <c r="C10" s="489">
        <v>70518</v>
      </c>
      <c r="D10" s="489">
        <v>76378</v>
      </c>
      <c r="E10" s="489">
        <v>76060</v>
      </c>
      <c r="F10" s="489">
        <v>62578</v>
      </c>
      <c r="G10" s="489">
        <v>58934</v>
      </c>
      <c r="H10" s="489">
        <v>33132</v>
      </c>
      <c r="I10" s="490">
        <v>41934</v>
      </c>
      <c r="J10" s="480">
        <f t="shared" si="1"/>
        <v>-0.13162385288905265</v>
      </c>
      <c r="K10" s="489">
        <v>395917</v>
      </c>
      <c r="L10" s="489">
        <v>455928</v>
      </c>
      <c r="M10" s="489">
        <v>468848</v>
      </c>
      <c r="N10" s="489">
        <v>420041</v>
      </c>
      <c r="O10" s="489">
        <v>383364</v>
      </c>
      <c r="P10" s="489">
        <v>259428</v>
      </c>
      <c r="Q10" s="490">
        <v>314474</v>
      </c>
    </row>
    <row r="11" spans="1:17" s="142" customFormat="1" ht="11.25">
      <c r="A11" s="229" t="s">
        <v>20</v>
      </c>
      <c r="B11" s="480"/>
      <c r="C11" s="489"/>
      <c r="D11" s="489">
        <v>68423</v>
      </c>
      <c r="E11" s="489">
        <v>74637</v>
      </c>
      <c r="F11" s="489">
        <v>59822</v>
      </c>
      <c r="G11" s="489">
        <v>54421</v>
      </c>
      <c r="H11" s="489">
        <v>34977</v>
      </c>
      <c r="I11" s="490">
        <v>42744</v>
      </c>
      <c r="J11" s="480"/>
      <c r="K11" s="489"/>
      <c r="L11" s="489">
        <v>401858</v>
      </c>
      <c r="M11" s="489">
        <v>464871</v>
      </c>
      <c r="N11" s="489">
        <v>392008</v>
      </c>
      <c r="O11" s="489">
        <v>387354</v>
      </c>
      <c r="P11" s="489">
        <v>267465</v>
      </c>
      <c r="Q11" s="490">
        <v>312147</v>
      </c>
    </row>
    <row r="12" spans="1:17" s="142" customFormat="1" ht="11.25">
      <c r="A12" s="229" t="s">
        <v>21</v>
      </c>
      <c r="B12" s="480"/>
      <c r="C12" s="489"/>
      <c r="D12" s="489">
        <v>78092</v>
      </c>
      <c r="E12" s="489">
        <v>71231</v>
      </c>
      <c r="F12" s="489">
        <v>62431</v>
      </c>
      <c r="G12" s="489">
        <v>53823</v>
      </c>
      <c r="H12" s="489">
        <v>34145</v>
      </c>
      <c r="I12" s="490">
        <v>43975</v>
      </c>
      <c r="J12" s="480"/>
      <c r="K12" s="489"/>
      <c r="L12" s="489">
        <v>462165</v>
      </c>
      <c r="M12" s="489">
        <v>416196</v>
      </c>
      <c r="N12" s="489">
        <v>383229</v>
      </c>
      <c r="O12" s="489">
        <v>370508</v>
      </c>
      <c r="P12" s="489">
        <v>270781</v>
      </c>
      <c r="Q12" s="490">
        <v>337507</v>
      </c>
    </row>
    <row r="13" spans="1:17" s="142" customFormat="1" ht="11.25">
      <c r="A13" s="229" t="s">
        <v>22</v>
      </c>
      <c r="B13" s="480"/>
      <c r="C13" s="489"/>
      <c r="D13" s="489">
        <v>78178</v>
      </c>
      <c r="E13" s="489">
        <v>80634</v>
      </c>
      <c r="F13" s="489">
        <v>71750</v>
      </c>
      <c r="G13" s="489">
        <v>56852</v>
      </c>
      <c r="H13" s="489">
        <v>40053</v>
      </c>
      <c r="I13" s="490">
        <v>43317</v>
      </c>
      <c r="J13" s="480"/>
      <c r="K13" s="489"/>
      <c r="L13" s="489">
        <v>463139</v>
      </c>
      <c r="M13" s="489">
        <v>504009</v>
      </c>
      <c r="N13" s="489">
        <v>468369</v>
      </c>
      <c r="O13" s="489">
        <v>426047</v>
      </c>
      <c r="P13" s="489">
        <v>300969</v>
      </c>
      <c r="Q13" s="490">
        <v>334571</v>
      </c>
    </row>
    <row r="14" spans="1:17" s="142" customFormat="1" ht="11.25">
      <c r="A14" s="229" t="s">
        <v>23</v>
      </c>
      <c r="B14" s="480"/>
      <c r="C14" s="489"/>
      <c r="D14" s="489">
        <v>65775</v>
      </c>
      <c r="E14" s="489">
        <v>76755</v>
      </c>
      <c r="F14" s="489">
        <v>63351</v>
      </c>
      <c r="G14" s="489">
        <v>57783</v>
      </c>
      <c r="H14" s="489">
        <v>44456</v>
      </c>
      <c r="I14" s="490">
        <v>48695</v>
      </c>
      <c r="J14" s="480"/>
      <c r="K14" s="489"/>
      <c r="L14" s="489">
        <v>410899</v>
      </c>
      <c r="M14" s="489">
        <v>496518</v>
      </c>
      <c r="N14" s="489">
        <v>426476</v>
      </c>
      <c r="O14" s="489">
        <v>408639</v>
      </c>
      <c r="P14" s="489">
        <v>313633</v>
      </c>
      <c r="Q14" s="490">
        <v>359568</v>
      </c>
    </row>
    <row r="15" spans="1:17" s="142" customFormat="1" ht="12" thickBot="1">
      <c r="A15" s="429" t="s">
        <v>24</v>
      </c>
      <c r="B15" s="1482"/>
      <c r="C15" s="1483"/>
      <c r="D15" s="1483">
        <v>59996</v>
      </c>
      <c r="E15" s="1483">
        <v>70197</v>
      </c>
      <c r="F15" s="1483">
        <v>62807</v>
      </c>
      <c r="G15" s="1483">
        <v>57734</v>
      </c>
      <c r="H15" s="1483">
        <v>43218</v>
      </c>
      <c r="I15" s="1484">
        <v>6027</v>
      </c>
      <c r="J15" s="1482"/>
      <c r="K15" s="1483"/>
      <c r="L15" s="1483">
        <v>348001</v>
      </c>
      <c r="M15" s="1483">
        <v>398872</v>
      </c>
      <c r="N15" s="1483">
        <v>385009</v>
      </c>
      <c r="O15" s="1483">
        <v>409019</v>
      </c>
      <c r="P15" s="1483">
        <v>321310</v>
      </c>
      <c r="Q15" s="1484">
        <v>47856</v>
      </c>
    </row>
    <row r="16" spans="1:17" s="336" customFormat="1" ht="11.25">
      <c r="A16" s="383" t="s">
        <v>25</v>
      </c>
      <c r="B16" s="1485">
        <f>SUM(C16-D16)/D16</f>
        <v>0.07609943580773115</v>
      </c>
      <c r="C16" s="430">
        <f>SUM(C4:C10)</f>
        <v>436778</v>
      </c>
      <c r="D16" s="430">
        <f aca="true" t="shared" si="2" ref="D16:I16">SUM(D4:D9)</f>
        <v>405890</v>
      </c>
      <c r="E16" s="430">
        <f t="shared" si="2"/>
        <v>394706</v>
      </c>
      <c r="F16" s="430">
        <f t="shared" si="2"/>
        <v>351463</v>
      </c>
      <c r="G16" s="430">
        <f t="shared" si="2"/>
        <v>258704</v>
      </c>
      <c r="H16" s="430">
        <f t="shared" si="2"/>
        <v>155721</v>
      </c>
      <c r="I16" s="1486">
        <f t="shared" si="2"/>
        <v>279414</v>
      </c>
      <c r="J16" s="1485">
        <f>SUM(K16-L16)/L16</f>
        <v>0.09753852774718004</v>
      </c>
      <c r="K16" s="430">
        <f>SUM(K4:K10)</f>
        <v>2483992</v>
      </c>
      <c r="L16" s="430">
        <f aca="true" t="shared" si="3" ref="L16:Q16">SUM(L4:L9)</f>
        <v>2263239</v>
      </c>
      <c r="M16" s="430">
        <f t="shared" si="3"/>
        <v>2476632</v>
      </c>
      <c r="N16" s="430">
        <f t="shared" si="3"/>
        <v>2302090</v>
      </c>
      <c r="O16" s="430">
        <f t="shared" si="3"/>
        <v>1801188</v>
      </c>
      <c r="P16" s="430">
        <f t="shared" si="3"/>
        <v>1136618</v>
      </c>
      <c r="Q16" s="430">
        <f t="shared" si="3"/>
        <v>1929988</v>
      </c>
    </row>
    <row r="17" spans="1:17" s="336" customFormat="1" ht="12" thickBot="1">
      <c r="A17" s="293" t="s">
        <v>28</v>
      </c>
      <c r="B17" s="1443">
        <f>SUM(C17-D17)/D17</f>
        <v>-0.10083642070403709</v>
      </c>
      <c r="C17" s="337">
        <f>AVERAGE(C4:C15)</f>
        <v>62396.857142857145</v>
      </c>
      <c r="D17" s="337">
        <f aca="true" t="shared" si="4" ref="D17:I17">AVERAGE(D4:D15)</f>
        <v>69394.33333333333</v>
      </c>
      <c r="E17" s="337">
        <f t="shared" si="4"/>
        <v>70351.66666666667</v>
      </c>
      <c r="F17" s="337">
        <f t="shared" si="4"/>
        <v>61183.5</v>
      </c>
      <c r="G17" s="337">
        <f t="shared" si="4"/>
        <v>49854.25</v>
      </c>
      <c r="H17" s="337">
        <f t="shared" si="4"/>
        <v>32141.833333333332</v>
      </c>
      <c r="I17" s="338">
        <f t="shared" si="4"/>
        <v>42175.5</v>
      </c>
      <c r="J17" s="1443">
        <f>SUM(K17-L17)/L17</f>
        <v>-0.11382537648049657</v>
      </c>
      <c r="K17" s="337">
        <f>AVERAGE(K4:K15)</f>
        <v>354856</v>
      </c>
      <c r="L17" s="337">
        <f aca="true" t="shared" si="5" ref="L17:Q17">AVERAGE(L4:L15)</f>
        <v>400435.75</v>
      </c>
      <c r="M17" s="337">
        <f t="shared" si="5"/>
        <v>435495.5</v>
      </c>
      <c r="N17" s="337">
        <f t="shared" si="5"/>
        <v>398101.8333333333</v>
      </c>
      <c r="O17" s="337">
        <f t="shared" si="5"/>
        <v>348843.25</v>
      </c>
      <c r="P17" s="337">
        <f t="shared" si="5"/>
        <v>239183.66666666666</v>
      </c>
      <c r="Q17" s="338">
        <f t="shared" si="5"/>
        <v>303009.25</v>
      </c>
    </row>
    <row r="18" spans="2:6" ht="12.75">
      <c r="B18" s="1"/>
      <c r="C18" s="1"/>
      <c r="D18" s="1"/>
      <c r="E18" s="1"/>
      <c r="F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</sheetData>
  <mergeCells count="4">
    <mergeCell ref="B3:I3"/>
    <mergeCell ref="A1:A3"/>
    <mergeCell ref="J3:Q3"/>
    <mergeCell ref="B1:Q1"/>
  </mergeCells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N17"/>
  <sheetViews>
    <sheetView workbookViewId="0" topLeftCell="A1">
      <selection activeCell="A4" sqref="A4"/>
    </sheetView>
  </sheetViews>
  <sheetFormatPr defaultColWidth="9.140625" defaultRowHeight="12.75"/>
  <cols>
    <col min="1" max="1" width="14.421875" style="142" customWidth="1"/>
    <col min="2" max="2" width="7.00390625" style="142" customWidth="1"/>
    <col min="3" max="8" width="5.7109375" style="142" bestFit="1" customWidth="1"/>
    <col min="9" max="9" width="4.8515625" style="142" bestFit="1" customWidth="1"/>
    <col min="10" max="10" width="7.00390625" style="142" bestFit="1" customWidth="1"/>
    <col min="11" max="13" width="4.421875" style="142" customWidth="1"/>
    <col min="14" max="14" width="4.8515625" style="142" customWidth="1"/>
    <col min="15" max="17" width="4.8515625" style="142" bestFit="1" customWidth="1"/>
    <col min="18" max="18" width="7.00390625" style="142" bestFit="1" customWidth="1"/>
    <col min="19" max="20" width="5.7109375" style="142" customWidth="1"/>
    <col min="21" max="24" width="5.7109375" style="142" bestFit="1" customWidth="1"/>
    <col min="25" max="25" width="7.00390625" style="142" bestFit="1" customWidth="1"/>
    <col min="26" max="26" width="5.7109375" style="142" customWidth="1"/>
    <col min="27" max="31" width="5.7109375" style="142" bestFit="1" customWidth="1"/>
    <col min="32" max="32" width="4.8515625" style="142" bestFit="1" customWidth="1"/>
    <col min="33" max="33" width="7.00390625" style="142" bestFit="1" customWidth="1"/>
    <col min="34" max="36" width="5.7109375" style="142" bestFit="1" customWidth="1"/>
    <col min="37" max="37" width="5.7109375" style="142" customWidth="1"/>
    <col min="38" max="40" width="5.7109375" style="142" bestFit="1" customWidth="1"/>
    <col min="41" max="16384" width="9.140625" style="142" customWidth="1"/>
  </cols>
  <sheetData>
    <row r="1" spans="1:40" ht="12" thickBot="1">
      <c r="A1" s="2034" t="s">
        <v>123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320"/>
      <c r="S1" s="320"/>
      <c r="T1" s="320"/>
      <c r="U1" s="320"/>
      <c r="V1" s="320"/>
      <c r="W1" s="320"/>
      <c r="X1" s="321"/>
      <c r="Y1" s="320"/>
      <c r="Z1" s="320"/>
      <c r="AA1" s="320"/>
      <c r="AB1" s="320"/>
      <c r="AC1" s="320"/>
      <c r="AD1" s="320"/>
      <c r="AE1" s="320"/>
      <c r="AF1" s="321"/>
      <c r="AG1" s="320"/>
      <c r="AH1" s="320"/>
      <c r="AI1" s="320"/>
      <c r="AJ1" s="1911"/>
      <c r="AK1" s="1911"/>
      <c r="AL1" s="1911"/>
      <c r="AM1" s="1911"/>
      <c r="AN1" s="1912"/>
    </row>
    <row r="2" spans="1:40" s="632" customFormat="1" ht="12" thickBot="1">
      <c r="A2" s="2084"/>
      <c r="B2" s="485" t="s">
        <v>44</v>
      </c>
      <c r="C2" s="486">
        <v>2008</v>
      </c>
      <c r="D2" s="486">
        <v>2007</v>
      </c>
      <c r="E2" s="486">
        <v>2006</v>
      </c>
      <c r="F2" s="486">
        <v>2005</v>
      </c>
      <c r="G2" s="486">
        <v>2004</v>
      </c>
      <c r="H2" s="486">
        <v>2003</v>
      </c>
      <c r="I2" s="487">
        <v>2002</v>
      </c>
      <c r="J2" s="322" t="s">
        <v>44</v>
      </c>
      <c r="K2" s="322">
        <v>2008</v>
      </c>
      <c r="L2" s="322">
        <v>2007</v>
      </c>
      <c r="M2" s="322">
        <v>2006</v>
      </c>
      <c r="N2" s="323">
        <v>2005</v>
      </c>
      <c r="O2" s="323">
        <v>2004</v>
      </c>
      <c r="P2" s="323">
        <v>2003</v>
      </c>
      <c r="Q2" s="324">
        <v>2002</v>
      </c>
      <c r="R2" s="433" t="s">
        <v>44</v>
      </c>
      <c r="S2" s="431">
        <v>2008</v>
      </c>
      <c r="T2" s="431">
        <v>2007</v>
      </c>
      <c r="U2" s="431">
        <v>2005</v>
      </c>
      <c r="V2" s="431">
        <v>2004</v>
      </c>
      <c r="W2" s="431">
        <v>2003</v>
      </c>
      <c r="X2" s="432">
        <v>2002</v>
      </c>
      <c r="Y2" s="317" t="s">
        <v>44</v>
      </c>
      <c r="Z2" s="317">
        <v>2008</v>
      </c>
      <c r="AA2" s="317">
        <v>2007</v>
      </c>
      <c r="AB2" s="317">
        <v>2006</v>
      </c>
      <c r="AC2" s="241">
        <v>2005</v>
      </c>
      <c r="AD2" s="241">
        <v>2004</v>
      </c>
      <c r="AE2" s="241">
        <v>2003</v>
      </c>
      <c r="AF2" s="242">
        <v>2002</v>
      </c>
      <c r="AG2" s="267" t="s">
        <v>44</v>
      </c>
      <c r="AH2" s="267">
        <v>2008</v>
      </c>
      <c r="AI2" s="267">
        <v>2007</v>
      </c>
      <c r="AJ2" s="267">
        <v>2006</v>
      </c>
      <c r="AK2" s="268">
        <v>2005</v>
      </c>
      <c r="AL2" s="268">
        <v>2004</v>
      </c>
      <c r="AM2" s="268">
        <v>2003</v>
      </c>
      <c r="AN2" s="269">
        <v>2002</v>
      </c>
    </row>
    <row r="3" spans="1:40" s="632" customFormat="1" ht="13.5" thickBot="1">
      <c r="A3" s="326"/>
      <c r="B3" s="2008" t="s">
        <v>100</v>
      </c>
      <c r="C3" s="2086"/>
      <c r="D3" s="2087"/>
      <c r="E3" s="2087"/>
      <c r="F3" s="2087"/>
      <c r="G3" s="2087"/>
      <c r="H3" s="2087"/>
      <c r="I3" s="2088"/>
      <c r="J3" s="1890" t="s">
        <v>69</v>
      </c>
      <c r="K3" s="1822"/>
      <c r="L3" s="1822"/>
      <c r="M3" s="1822"/>
      <c r="N3" s="1822"/>
      <c r="O3" s="1822"/>
      <c r="P3" s="1822"/>
      <c r="Q3" s="1926"/>
      <c r="R3" s="1890" t="s">
        <v>71</v>
      </c>
      <c r="S3" s="1822"/>
      <c r="T3" s="1822"/>
      <c r="U3" s="1822"/>
      <c r="V3" s="1822"/>
      <c r="W3" s="1822"/>
      <c r="X3" s="1926"/>
      <c r="Y3" s="1893" t="s">
        <v>49</v>
      </c>
      <c r="Z3" s="1884"/>
      <c r="AA3" s="1884"/>
      <c r="AB3" s="1884"/>
      <c r="AC3" s="1872"/>
      <c r="AD3" s="1872"/>
      <c r="AE3" s="1872"/>
      <c r="AF3" s="2085"/>
      <c r="AG3" s="1930" t="s">
        <v>116</v>
      </c>
      <c r="AH3" s="1931"/>
      <c r="AI3" s="1907"/>
      <c r="AJ3" s="1907"/>
      <c r="AK3" s="1907"/>
      <c r="AL3" s="1907"/>
      <c r="AM3" s="1907"/>
      <c r="AN3" s="1908"/>
    </row>
    <row r="4" spans="1:40" s="632" customFormat="1" ht="11.25">
      <c r="A4" s="1009" t="s">
        <v>13</v>
      </c>
      <c r="B4" s="1446">
        <f aca="true" t="shared" si="0" ref="B4:B9">SUM(C4-D4)/D4</f>
        <v>-0.5635696821515892</v>
      </c>
      <c r="C4" s="481">
        <v>1785</v>
      </c>
      <c r="D4" s="481">
        <v>4090</v>
      </c>
      <c r="E4" s="481">
        <v>5298</v>
      </c>
      <c r="F4" s="770">
        <v>4382</v>
      </c>
      <c r="G4" s="770">
        <v>4352</v>
      </c>
      <c r="H4" s="770">
        <v>4102</v>
      </c>
      <c r="I4" s="1447"/>
      <c r="J4" s="1448">
        <f>SUM(K4-M4)/M4</f>
        <v>-0.7733333333333333</v>
      </c>
      <c r="K4" s="1449">
        <v>34</v>
      </c>
      <c r="L4" s="1449">
        <v>130</v>
      </c>
      <c r="M4" s="1449">
        <v>150</v>
      </c>
      <c r="N4" s="1449">
        <v>178</v>
      </c>
      <c r="O4" s="1450">
        <v>1168</v>
      </c>
      <c r="P4" s="1450">
        <v>1200</v>
      </c>
      <c r="Q4" s="1451">
        <v>0</v>
      </c>
      <c r="R4" s="1452">
        <f aca="true" t="shared" si="1" ref="R4:R9">SUM(S4-T4)/T4</f>
        <v>-0.568957345971564</v>
      </c>
      <c r="S4" s="1453">
        <f aca="true" t="shared" si="2" ref="S4:S9">+C4+K4</f>
        <v>1819</v>
      </c>
      <c r="T4" s="1453">
        <f aca="true" t="shared" si="3" ref="T4:T15">+D4+L4</f>
        <v>4220</v>
      </c>
      <c r="U4" s="1453">
        <f aca="true" t="shared" si="4" ref="U4:U15">+E4+M4</f>
        <v>5448</v>
      </c>
      <c r="V4" s="1453">
        <f aca="true" t="shared" si="5" ref="V4:V15">+F4+N4</f>
        <v>4560</v>
      </c>
      <c r="W4" s="1453">
        <f aca="true" t="shared" si="6" ref="W4:W15">+G4+O4</f>
        <v>5520</v>
      </c>
      <c r="X4" s="1454">
        <f aca="true" t="shared" si="7" ref="X4:X15">+H4+P4</f>
        <v>5302</v>
      </c>
      <c r="Y4" s="1455">
        <f aca="true" t="shared" si="8" ref="Y4:Y11">SUM(Z4-AA4)/AA4</f>
        <v>-0.5115257958287596</v>
      </c>
      <c r="Z4" s="1456">
        <v>1780</v>
      </c>
      <c r="AA4" s="1456">
        <v>3644</v>
      </c>
      <c r="AB4" s="1456">
        <f>2+4538</f>
        <v>4540</v>
      </c>
      <c r="AC4" s="1456">
        <v>4250</v>
      </c>
      <c r="AD4" s="1077">
        <f>2+3182</f>
        <v>3184</v>
      </c>
      <c r="AE4" s="1077">
        <v>2928</v>
      </c>
      <c r="AF4" s="1077"/>
      <c r="AG4" s="1457">
        <f aca="true" t="shared" si="9" ref="AG4:AG9">SUM(AH4-AI4)/AI4</f>
        <v>-0.5423448626653102</v>
      </c>
      <c r="AH4" s="263">
        <f>+S4+Z4</f>
        <v>3599</v>
      </c>
      <c r="AI4" s="263">
        <f aca="true" t="shared" si="10" ref="AH4:AI15">+T4+AA4</f>
        <v>7864</v>
      </c>
      <c r="AJ4" s="263">
        <f aca="true" t="shared" si="11" ref="AJ4:AJ15">+U4+AB4</f>
        <v>9988</v>
      </c>
      <c r="AK4" s="263">
        <f aca="true" t="shared" si="12" ref="AK4:AK15">+V4+AC4</f>
        <v>8810</v>
      </c>
      <c r="AL4" s="263">
        <f aca="true" t="shared" si="13" ref="AL4:AL15">+W4+AD4</f>
        <v>8704</v>
      </c>
      <c r="AM4" s="263">
        <f aca="true" t="shared" si="14" ref="AM4:AM15">+X4+AE4</f>
        <v>8230</v>
      </c>
      <c r="AN4" s="263"/>
    </row>
    <row r="5" spans="1:40" s="632" customFormat="1" ht="11.25">
      <c r="A5" s="895" t="s">
        <v>14</v>
      </c>
      <c r="B5" s="1446">
        <f t="shared" si="0"/>
        <v>-0.029641185647425898</v>
      </c>
      <c r="C5" s="481">
        <v>3732</v>
      </c>
      <c r="D5" s="481">
        <v>3846</v>
      </c>
      <c r="E5" s="481">
        <v>4228</v>
      </c>
      <c r="F5" s="770">
        <v>4218</v>
      </c>
      <c r="G5" s="770">
        <v>3324</v>
      </c>
      <c r="H5" s="770">
        <v>3396</v>
      </c>
      <c r="I5" s="1447"/>
      <c r="J5" s="1458">
        <f>SUM(K5-M5)/M5</f>
        <v>-0.49056603773584906</v>
      </c>
      <c r="K5" s="491">
        <v>54</v>
      </c>
      <c r="L5" s="491">
        <v>58</v>
      </c>
      <c r="M5" s="491">
        <v>106</v>
      </c>
      <c r="N5" s="491">
        <v>176</v>
      </c>
      <c r="O5" s="1459">
        <v>1130</v>
      </c>
      <c r="P5" s="1459">
        <v>856</v>
      </c>
      <c r="Q5" s="1460">
        <v>0</v>
      </c>
      <c r="R5" s="1461">
        <f t="shared" si="1"/>
        <v>-0.030225409836065573</v>
      </c>
      <c r="S5" s="1462">
        <f t="shared" si="2"/>
        <v>3786</v>
      </c>
      <c r="T5" s="1462">
        <f t="shared" si="3"/>
        <v>3904</v>
      </c>
      <c r="U5" s="1462">
        <f t="shared" si="4"/>
        <v>4334</v>
      </c>
      <c r="V5" s="1462">
        <f t="shared" si="5"/>
        <v>4394</v>
      </c>
      <c r="W5" s="1462">
        <f t="shared" si="6"/>
        <v>4454</v>
      </c>
      <c r="X5" s="1463">
        <f t="shared" si="7"/>
        <v>4252</v>
      </c>
      <c r="Y5" s="1464">
        <f t="shared" si="8"/>
        <v>-0.22768572955638697</v>
      </c>
      <c r="Z5" s="352">
        <v>2890</v>
      </c>
      <c r="AA5" s="352">
        <v>3742</v>
      </c>
      <c r="AB5" s="352">
        <v>3796</v>
      </c>
      <c r="AC5" s="352">
        <f>6+3720</f>
        <v>3726</v>
      </c>
      <c r="AD5" s="223">
        <f>8+2456</f>
        <v>2464</v>
      </c>
      <c r="AE5" s="223">
        <v>2810</v>
      </c>
      <c r="AF5" s="223"/>
      <c r="AG5" s="1465">
        <f t="shared" si="9"/>
        <v>-0.1268637195919435</v>
      </c>
      <c r="AH5" s="121">
        <f t="shared" si="10"/>
        <v>6676</v>
      </c>
      <c r="AI5" s="121">
        <f t="shared" si="10"/>
        <v>7646</v>
      </c>
      <c r="AJ5" s="121">
        <f t="shared" si="11"/>
        <v>8130</v>
      </c>
      <c r="AK5" s="121">
        <f t="shared" si="12"/>
        <v>8120</v>
      </c>
      <c r="AL5" s="121">
        <f t="shared" si="13"/>
        <v>6918</v>
      </c>
      <c r="AM5" s="121">
        <f t="shared" si="14"/>
        <v>7062</v>
      </c>
      <c r="AN5" s="121"/>
    </row>
    <row r="6" spans="1:40" s="632" customFormat="1" ht="11.25">
      <c r="A6" s="895" t="s">
        <v>15</v>
      </c>
      <c r="B6" s="1446">
        <f t="shared" si="0"/>
        <v>0.3078338590956887</v>
      </c>
      <c r="C6" s="481">
        <v>4975</v>
      </c>
      <c r="D6" s="481">
        <v>3804</v>
      </c>
      <c r="E6" s="481">
        <v>4260</v>
      </c>
      <c r="F6" s="770">
        <v>4150</v>
      </c>
      <c r="G6" s="770">
        <v>3842</v>
      </c>
      <c r="H6" s="770">
        <v>3426</v>
      </c>
      <c r="I6" s="1447"/>
      <c r="J6" s="1458">
        <f>SUM(K6-M6)/M6</f>
        <v>0.3559322033898305</v>
      </c>
      <c r="K6" s="491">
        <v>160</v>
      </c>
      <c r="L6" s="491">
        <v>86</v>
      </c>
      <c r="M6" s="491">
        <v>118</v>
      </c>
      <c r="N6" s="491">
        <v>114</v>
      </c>
      <c r="O6" s="1459">
        <v>978</v>
      </c>
      <c r="P6" s="1459">
        <v>524</v>
      </c>
      <c r="Q6" s="1460">
        <v>0</v>
      </c>
      <c r="R6" s="1461">
        <f t="shared" si="1"/>
        <v>0.32005141388174807</v>
      </c>
      <c r="S6" s="1462">
        <f t="shared" si="2"/>
        <v>5135</v>
      </c>
      <c r="T6" s="1462">
        <f t="shared" si="3"/>
        <v>3890</v>
      </c>
      <c r="U6" s="1462">
        <f t="shared" si="4"/>
        <v>4378</v>
      </c>
      <c r="V6" s="1462">
        <f t="shared" si="5"/>
        <v>4264</v>
      </c>
      <c r="W6" s="1462">
        <f t="shared" si="6"/>
        <v>4820</v>
      </c>
      <c r="X6" s="1463">
        <f t="shared" si="7"/>
        <v>3950</v>
      </c>
      <c r="Y6" s="1464">
        <f t="shared" si="8"/>
        <v>0.2052910052910053</v>
      </c>
      <c r="Z6" s="352">
        <v>4556</v>
      </c>
      <c r="AA6" s="352">
        <v>3780</v>
      </c>
      <c r="AB6" s="352">
        <v>3782</v>
      </c>
      <c r="AC6" s="352">
        <v>3756</v>
      </c>
      <c r="AD6" s="223">
        <v>2820</v>
      </c>
      <c r="AE6" s="223">
        <v>2928</v>
      </c>
      <c r="AF6" s="223"/>
      <c r="AG6" s="1465">
        <f t="shared" si="9"/>
        <v>0.26349413298565844</v>
      </c>
      <c r="AH6" s="121">
        <f t="shared" si="10"/>
        <v>9691</v>
      </c>
      <c r="AI6" s="121">
        <f t="shared" si="10"/>
        <v>7670</v>
      </c>
      <c r="AJ6" s="121">
        <f t="shared" si="11"/>
        <v>8160</v>
      </c>
      <c r="AK6" s="121">
        <f t="shared" si="12"/>
        <v>8020</v>
      </c>
      <c r="AL6" s="121">
        <f t="shared" si="13"/>
        <v>7640</v>
      </c>
      <c r="AM6" s="121">
        <f t="shared" si="14"/>
        <v>6878</v>
      </c>
      <c r="AN6" s="121"/>
    </row>
    <row r="7" spans="1:40" s="632" customFormat="1" ht="11.25">
      <c r="A7" s="895" t="s">
        <v>16</v>
      </c>
      <c r="B7" s="1446">
        <f t="shared" si="0"/>
        <v>-0.20266889074228525</v>
      </c>
      <c r="C7" s="481">
        <v>3824</v>
      </c>
      <c r="D7" s="481">
        <v>4796</v>
      </c>
      <c r="E7" s="481">
        <v>5576</v>
      </c>
      <c r="F7" s="770">
        <v>4232</v>
      </c>
      <c r="G7" s="770">
        <v>3856</v>
      </c>
      <c r="H7" s="770">
        <v>3422</v>
      </c>
      <c r="I7" s="1447"/>
      <c r="J7" s="1458">
        <f>SUM(K7-M7)/M7</f>
        <v>-0.26881720430107525</v>
      </c>
      <c r="K7" s="491">
        <v>136</v>
      </c>
      <c r="L7" s="491">
        <v>118</v>
      </c>
      <c r="M7" s="491">
        <v>186</v>
      </c>
      <c r="N7" s="491">
        <v>124</v>
      </c>
      <c r="O7" s="1459">
        <v>484</v>
      </c>
      <c r="P7" s="1459">
        <v>706</v>
      </c>
      <c r="Q7" s="1460">
        <v>0</v>
      </c>
      <c r="R7" s="1461">
        <f t="shared" si="1"/>
        <v>-0.19413919413919414</v>
      </c>
      <c r="S7" s="1462">
        <f t="shared" si="2"/>
        <v>3960</v>
      </c>
      <c r="T7" s="1462">
        <f t="shared" si="3"/>
        <v>4914</v>
      </c>
      <c r="U7" s="1462">
        <f t="shared" si="4"/>
        <v>5762</v>
      </c>
      <c r="V7" s="1462">
        <f t="shared" si="5"/>
        <v>4356</v>
      </c>
      <c r="W7" s="1462">
        <f t="shared" si="6"/>
        <v>4340</v>
      </c>
      <c r="X7" s="1463">
        <f t="shared" si="7"/>
        <v>4128</v>
      </c>
      <c r="Y7" s="1464">
        <f t="shared" si="8"/>
        <v>-0.1937419631375911</v>
      </c>
      <c r="Z7" s="352">
        <v>3762</v>
      </c>
      <c r="AA7" s="352">
        <v>4666</v>
      </c>
      <c r="AB7" s="352">
        <v>4884</v>
      </c>
      <c r="AC7" s="352">
        <v>3712</v>
      </c>
      <c r="AD7" s="223">
        <v>3386</v>
      </c>
      <c r="AE7" s="223">
        <v>2722</v>
      </c>
      <c r="AF7" s="223"/>
      <c r="AG7" s="1465">
        <f t="shared" si="9"/>
        <v>-0.19394572025052192</v>
      </c>
      <c r="AH7" s="121">
        <f>+S7+Z7</f>
        <v>7722</v>
      </c>
      <c r="AI7" s="121">
        <f t="shared" si="10"/>
        <v>9580</v>
      </c>
      <c r="AJ7" s="121">
        <f t="shared" si="11"/>
        <v>10646</v>
      </c>
      <c r="AK7" s="121">
        <f t="shared" si="12"/>
        <v>8068</v>
      </c>
      <c r="AL7" s="121">
        <f t="shared" si="13"/>
        <v>7726</v>
      </c>
      <c r="AM7" s="121">
        <f t="shared" si="14"/>
        <v>6850</v>
      </c>
      <c r="AN7" s="121"/>
    </row>
    <row r="8" spans="1:40" s="632" customFormat="1" ht="11.25">
      <c r="A8" s="895" t="s">
        <v>17</v>
      </c>
      <c r="B8" s="1446">
        <f t="shared" si="0"/>
        <v>0.25435897435897437</v>
      </c>
      <c r="C8" s="481">
        <v>4892</v>
      </c>
      <c r="D8" s="481">
        <v>3900</v>
      </c>
      <c r="E8" s="481">
        <v>4172</v>
      </c>
      <c r="F8" s="770">
        <v>5504</v>
      </c>
      <c r="G8" s="770">
        <v>4676</v>
      </c>
      <c r="H8" s="770">
        <v>3906</v>
      </c>
      <c r="I8" s="1447"/>
      <c r="J8" s="1458">
        <f>SUM(K8-L8)/L8</f>
        <v>0.6382978723404256</v>
      </c>
      <c r="K8" s="491">
        <v>154</v>
      </c>
      <c r="L8" s="491">
        <v>94</v>
      </c>
      <c r="M8" s="491">
        <v>96</v>
      </c>
      <c r="N8" s="491">
        <v>176</v>
      </c>
      <c r="O8" s="1459">
        <v>676</v>
      </c>
      <c r="P8" s="1459">
        <v>448</v>
      </c>
      <c r="Q8" s="1460">
        <v>0</v>
      </c>
      <c r="R8" s="1461">
        <f t="shared" si="1"/>
        <v>0.26339509263895844</v>
      </c>
      <c r="S8" s="1462">
        <f t="shared" si="2"/>
        <v>5046</v>
      </c>
      <c r="T8" s="1462">
        <f t="shared" si="3"/>
        <v>3994</v>
      </c>
      <c r="U8" s="1462">
        <f t="shared" si="4"/>
        <v>4268</v>
      </c>
      <c r="V8" s="1462">
        <f t="shared" si="5"/>
        <v>5680</v>
      </c>
      <c r="W8" s="1462">
        <f t="shared" si="6"/>
        <v>5352</v>
      </c>
      <c r="X8" s="1463">
        <f t="shared" si="7"/>
        <v>4354</v>
      </c>
      <c r="Y8" s="1464">
        <f t="shared" si="8"/>
        <v>0.27741935483870966</v>
      </c>
      <c r="Z8" s="352">
        <v>4752</v>
      </c>
      <c r="AA8" s="352">
        <v>3720</v>
      </c>
      <c r="AB8" s="352">
        <f>2+3696</f>
        <v>3698</v>
      </c>
      <c r="AC8" s="352">
        <v>4376</v>
      </c>
      <c r="AD8" s="223">
        <f>66+4148</f>
        <v>4214</v>
      </c>
      <c r="AE8" s="223">
        <v>3724</v>
      </c>
      <c r="AF8" s="223"/>
      <c r="AG8" s="1465">
        <f t="shared" si="9"/>
        <v>0.2701581540057039</v>
      </c>
      <c r="AH8" s="121">
        <f>+S8+Z8</f>
        <v>9798</v>
      </c>
      <c r="AI8" s="121">
        <f t="shared" si="10"/>
        <v>7714</v>
      </c>
      <c r="AJ8" s="121">
        <f t="shared" si="11"/>
        <v>7966</v>
      </c>
      <c r="AK8" s="121">
        <f t="shared" si="12"/>
        <v>10056</v>
      </c>
      <c r="AL8" s="121">
        <f t="shared" si="13"/>
        <v>9566</v>
      </c>
      <c r="AM8" s="121">
        <f t="shared" si="14"/>
        <v>8078</v>
      </c>
      <c r="AN8" s="121"/>
    </row>
    <row r="9" spans="1:40" s="632" customFormat="1" ht="11.25">
      <c r="A9" s="895" t="s">
        <v>18</v>
      </c>
      <c r="B9" s="1446">
        <f t="shared" si="0"/>
        <v>0.13433637829124126</v>
      </c>
      <c r="C9" s="481">
        <v>4222</v>
      </c>
      <c r="D9" s="770">
        <v>3722</v>
      </c>
      <c r="E9" s="770">
        <v>4464</v>
      </c>
      <c r="F9" s="770">
        <v>4194</v>
      </c>
      <c r="G9" s="770">
        <v>3716</v>
      </c>
      <c r="H9" s="770">
        <v>3124</v>
      </c>
      <c r="I9" s="1447"/>
      <c r="J9" s="1458">
        <f>SUM(K9-L9)/L9</f>
        <v>0.1206896551724138</v>
      </c>
      <c r="K9" s="491">
        <v>130</v>
      </c>
      <c r="L9" s="1459">
        <v>116</v>
      </c>
      <c r="M9" s="1459">
        <v>140</v>
      </c>
      <c r="N9" s="1459">
        <v>116</v>
      </c>
      <c r="O9" s="1459">
        <v>466</v>
      </c>
      <c r="P9" s="1459">
        <v>794</v>
      </c>
      <c r="Q9" s="1460">
        <v>0</v>
      </c>
      <c r="R9" s="1461">
        <f t="shared" si="1"/>
        <v>0.13392391870766024</v>
      </c>
      <c r="S9" s="1462">
        <f t="shared" si="2"/>
        <v>4352</v>
      </c>
      <c r="T9" s="1462">
        <f t="shared" si="3"/>
        <v>3838</v>
      </c>
      <c r="U9" s="1462">
        <f t="shared" si="4"/>
        <v>4604</v>
      </c>
      <c r="V9" s="1462">
        <f t="shared" si="5"/>
        <v>4310</v>
      </c>
      <c r="W9" s="1462">
        <f t="shared" si="6"/>
        <v>4182</v>
      </c>
      <c r="X9" s="1463">
        <f t="shared" si="7"/>
        <v>3918</v>
      </c>
      <c r="Y9" s="1464">
        <f t="shared" si="8"/>
        <v>-0.04388470527135809</v>
      </c>
      <c r="Z9" s="352">
        <v>3682</v>
      </c>
      <c r="AA9" s="479">
        <v>3851</v>
      </c>
      <c r="AB9" s="479">
        <f>102+3668</f>
        <v>3770</v>
      </c>
      <c r="AC9" s="479">
        <v>3852</v>
      </c>
      <c r="AD9" s="223">
        <f>4+3344</f>
        <v>3348</v>
      </c>
      <c r="AE9" s="223">
        <v>2364</v>
      </c>
      <c r="AF9" s="223"/>
      <c r="AG9" s="1465">
        <f t="shared" si="9"/>
        <v>0.04486929379633242</v>
      </c>
      <c r="AH9" s="121">
        <f>+S9+Z9</f>
        <v>8034</v>
      </c>
      <c r="AI9" s="121">
        <f t="shared" si="10"/>
        <v>7689</v>
      </c>
      <c r="AJ9" s="121">
        <f t="shared" si="11"/>
        <v>8374</v>
      </c>
      <c r="AK9" s="121">
        <f t="shared" si="12"/>
        <v>8162</v>
      </c>
      <c r="AL9" s="121">
        <f t="shared" si="13"/>
        <v>7530</v>
      </c>
      <c r="AM9" s="121">
        <f t="shared" si="14"/>
        <v>6282</v>
      </c>
      <c r="AN9" s="121"/>
    </row>
    <row r="10" spans="1:40" s="632" customFormat="1" ht="11.25">
      <c r="A10" s="895" t="s">
        <v>19</v>
      </c>
      <c r="B10" s="1446">
        <f>SUM(C10-D10)/D10</f>
        <v>-0.23439604849573417</v>
      </c>
      <c r="C10" s="481">
        <v>3410</v>
      </c>
      <c r="D10" s="770">
        <v>4454</v>
      </c>
      <c r="E10" s="770">
        <v>4974</v>
      </c>
      <c r="F10" s="770">
        <v>5198</v>
      </c>
      <c r="G10" s="770">
        <v>3608</v>
      </c>
      <c r="H10" s="770">
        <v>4044</v>
      </c>
      <c r="I10" s="1447"/>
      <c r="J10" s="1458">
        <f>SUM(K10-L10)/L10</f>
        <v>-0.1276595744680851</v>
      </c>
      <c r="K10" s="491">
        <v>164</v>
      </c>
      <c r="L10" s="1459">
        <v>188</v>
      </c>
      <c r="M10" s="1459">
        <v>114</v>
      </c>
      <c r="N10" s="1459">
        <v>142</v>
      </c>
      <c r="O10" s="1459">
        <v>698</v>
      </c>
      <c r="P10" s="1459">
        <v>608</v>
      </c>
      <c r="Q10" s="1460">
        <v>0</v>
      </c>
      <c r="R10" s="1461">
        <f>SUM(S10-T10)/T10</f>
        <v>-0.23007324429125378</v>
      </c>
      <c r="S10" s="1462">
        <f>+C10+K10</f>
        <v>3574</v>
      </c>
      <c r="T10" s="1462">
        <f t="shared" si="3"/>
        <v>4642</v>
      </c>
      <c r="U10" s="1462">
        <f t="shared" si="4"/>
        <v>5088</v>
      </c>
      <c r="V10" s="1462">
        <f t="shared" si="5"/>
        <v>5340</v>
      </c>
      <c r="W10" s="1462">
        <f t="shared" si="6"/>
        <v>4306</v>
      </c>
      <c r="X10" s="1463">
        <f t="shared" si="7"/>
        <v>4652</v>
      </c>
      <c r="Y10" s="1464">
        <f t="shared" si="8"/>
        <v>-0.2170433145009416</v>
      </c>
      <c r="Z10" s="352">
        <v>3326</v>
      </c>
      <c r="AA10" s="479">
        <v>4248</v>
      </c>
      <c r="AB10" s="479">
        <v>3932</v>
      </c>
      <c r="AC10" s="479">
        <v>4562</v>
      </c>
      <c r="AD10" s="223">
        <f>36+2694</f>
        <v>2730</v>
      </c>
      <c r="AE10" s="223">
        <f>48+2428</f>
        <v>2476</v>
      </c>
      <c r="AF10" s="223"/>
      <c r="AG10" s="1465">
        <f>SUM(AH10-AI10)/AI10</f>
        <v>-0.22384701912260968</v>
      </c>
      <c r="AH10" s="121">
        <f>+S10+Z10</f>
        <v>6900</v>
      </c>
      <c r="AI10" s="121">
        <f t="shared" si="10"/>
        <v>8890</v>
      </c>
      <c r="AJ10" s="121">
        <f t="shared" si="11"/>
        <v>9020</v>
      </c>
      <c r="AK10" s="121">
        <f t="shared" si="12"/>
        <v>9902</v>
      </c>
      <c r="AL10" s="121">
        <f t="shared" si="13"/>
        <v>7036</v>
      </c>
      <c r="AM10" s="121">
        <f t="shared" si="14"/>
        <v>7128</v>
      </c>
      <c r="AN10" s="121"/>
    </row>
    <row r="11" spans="1:40" s="632" customFormat="1" ht="11.25">
      <c r="A11" s="895" t="s">
        <v>20</v>
      </c>
      <c r="B11" s="1446">
        <f>SUM(C11-D11)/D11</f>
        <v>-0.03150912106135987</v>
      </c>
      <c r="C11" s="770">
        <v>4088</v>
      </c>
      <c r="D11" s="770">
        <v>4221</v>
      </c>
      <c r="E11" s="770">
        <v>4500</v>
      </c>
      <c r="F11" s="770">
        <v>3864</v>
      </c>
      <c r="G11" s="770">
        <v>4490</v>
      </c>
      <c r="H11" s="770">
        <v>3332</v>
      </c>
      <c r="I11" s="1447"/>
      <c r="J11" s="1458"/>
      <c r="K11" s="1459">
        <v>620</v>
      </c>
      <c r="L11" s="1459">
        <v>160</v>
      </c>
      <c r="M11" s="1459">
        <v>96</v>
      </c>
      <c r="N11" s="1459">
        <v>162</v>
      </c>
      <c r="O11" s="1459">
        <v>552</v>
      </c>
      <c r="P11" s="1459">
        <v>942</v>
      </c>
      <c r="Q11" s="1460">
        <v>0</v>
      </c>
      <c r="R11" s="1461">
        <f>SUM(S11-T11)/T11</f>
        <v>0.07464049303811915</v>
      </c>
      <c r="S11" s="1462">
        <f>+C11+K11</f>
        <v>4708</v>
      </c>
      <c r="T11" s="1462">
        <f t="shared" si="3"/>
        <v>4381</v>
      </c>
      <c r="U11" s="1462">
        <f t="shared" si="4"/>
        <v>4596</v>
      </c>
      <c r="V11" s="1462">
        <f t="shared" si="5"/>
        <v>4026</v>
      </c>
      <c r="W11" s="1462">
        <f t="shared" si="6"/>
        <v>5042</v>
      </c>
      <c r="X11" s="1463">
        <f t="shared" si="7"/>
        <v>4274</v>
      </c>
      <c r="Y11" s="1464">
        <f t="shared" si="8"/>
        <v>0.050818746470920384</v>
      </c>
      <c r="Z11" s="479">
        <v>3722</v>
      </c>
      <c r="AA11" s="479">
        <v>3542</v>
      </c>
      <c r="AB11" s="479">
        <v>2718</v>
      </c>
      <c r="AC11" s="479">
        <v>3406</v>
      </c>
      <c r="AD11" s="223">
        <v>3990</v>
      </c>
      <c r="AE11" s="223">
        <v>2538</v>
      </c>
      <c r="AF11" s="223"/>
      <c r="AG11" s="1465">
        <f>SUM(AH11-AI11)/AI11</f>
        <v>0.06399091253313138</v>
      </c>
      <c r="AH11" s="121">
        <f>+S11+Z11</f>
        <v>8430</v>
      </c>
      <c r="AI11" s="121">
        <f t="shared" si="10"/>
        <v>7923</v>
      </c>
      <c r="AJ11" s="121">
        <f t="shared" si="11"/>
        <v>7314</v>
      </c>
      <c r="AK11" s="121">
        <f t="shared" si="12"/>
        <v>7432</v>
      </c>
      <c r="AL11" s="121">
        <f t="shared" si="13"/>
        <v>9032</v>
      </c>
      <c r="AM11" s="121">
        <f t="shared" si="14"/>
        <v>6812</v>
      </c>
      <c r="AN11" s="121"/>
    </row>
    <row r="12" spans="1:40" s="632" customFormat="1" ht="11.25">
      <c r="A12" s="895" t="s">
        <v>21</v>
      </c>
      <c r="B12" s="1446"/>
      <c r="C12" s="770"/>
      <c r="D12" s="770">
        <v>4642</v>
      </c>
      <c r="E12" s="770">
        <v>4096</v>
      </c>
      <c r="F12" s="770">
        <v>4004</v>
      </c>
      <c r="G12" s="770">
        <v>3196</v>
      </c>
      <c r="H12" s="770">
        <v>3928</v>
      </c>
      <c r="I12" s="1447"/>
      <c r="J12" s="1458"/>
      <c r="K12" s="1459"/>
      <c r="L12" s="1459">
        <v>156</v>
      </c>
      <c r="M12" s="1459">
        <v>186</v>
      </c>
      <c r="N12" s="1459">
        <v>367</v>
      </c>
      <c r="O12" s="1459">
        <v>428</v>
      </c>
      <c r="P12" s="1459">
        <v>858</v>
      </c>
      <c r="Q12" s="1460">
        <v>0</v>
      </c>
      <c r="R12" s="1461"/>
      <c r="S12" s="1462"/>
      <c r="T12" s="1462">
        <f t="shared" si="3"/>
        <v>4798</v>
      </c>
      <c r="U12" s="1462">
        <f t="shared" si="4"/>
        <v>4282</v>
      </c>
      <c r="V12" s="1462">
        <f t="shared" si="5"/>
        <v>4371</v>
      </c>
      <c r="W12" s="1462">
        <f t="shared" si="6"/>
        <v>3624</v>
      </c>
      <c r="X12" s="1463">
        <f t="shared" si="7"/>
        <v>4786</v>
      </c>
      <c r="Y12" s="1464"/>
      <c r="Z12" s="479"/>
      <c r="AA12" s="479">
        <v>4404</v>
      </c>
      <c r="AB12" s="479">
        <f>4+3016</f>
        <v>3020</v>
      </c>
      <c r="AC12" s="479">
        <v>3230</v>
      </c>
      <c r="AD12" s="223">
        <v>1876</v>
      </c>
      <c r="AE12" s="223">
        <f>14+3044</f>
        <v>3058</v>
      </c>
      <c r="AF12" s="223"/>
      <c r="AG12" s="1465"/>
      <c r="AH12" s="121"/>
      <c r="AI12" s="121">
        <f t="shared" si="10"/>
        <v>9202</v>
      </c>
      <c r="AJ12" s="121">
        <f t="shared" si="11"/>
        <v>7302</v>
      </c>
      <c r="AK12" s="121">
        <f t="shared" si="12"/>
        <v>7601</v>
      </c>
      <c r="AL12" s="121">
        <f t="shared" si="13"/>
        <v>5500</v>
      </c>
      <c r="AM12" s="121">
        <f t="shared" si="14"/>
        <v>7844</v>
      </c>
      <c r="AN12" s="121"/>
    </row>
    <row r="13" spans="1:40" s="632" customFormat="1" ht="11.25">
      <c r="A13" s="895" t="s">
        <v>22</v>
      </c>
      <c r="B13" s="1446"/>
      <c r="C13" s="770"/>
      <c r="D13" s="770">
        <v>3546</v>
      </c>
      <c r="E13" s="770">
        <v>4368</v>
      </c>
      <c r="F13" s="770">
        <v>4750</v>
      </c>
      <c r="G13" s="770">
        <v>4646</v>
      </c>
      <c r="H13" s="770">
        <v>3880</v>
      </c>
      <c r="I13" s="1447">
        <v>732</v>
      </c>
      <c r="J13" s="1458"/>
      <c r="K13" s="1459"/>
      <c r="L13" s="1459">
        <v>176</v>
      </c>
      <c r="M13" s="1459">
        <v>182</v>
      </c>
      <c r="N13" s="1459">
        <v>592</v>
      </c>
      <c r="O13" s="1459">
        <v>1480</v>
      </c>
      <c r="P13" s="1459">
        <v>550</v>
      </c>
      <c r="Q13" s="1460">
        <v>132</v>
      </c>
      <c r="R13" s="1461"/>
      <c r="S13" s="1462"/>
      <c r="T13" s="1462">
        <f t="shared" si="3"/>
        <v>3722</v>
      </c>
      <c r="U13" s="1462">
        <f t="shared" si="4"/>
        <v>4550</v>
      </c>
      <c r="V13" s="1462">
        <f t="shared" si="5"/>
        <v>5342</v>
      </c>
      <c r="W13" s="1462">
        <f t="shared" si="6"/>
        <v>6126</v>
      </c>
      <c r="X13" s="1463">
        <f t="shared" si="7"/>
        <v>4430</v>
      </c>
      <c r="Y13" s="1464"/>
      <c r="Z13" s="479"/>
      <c r="AA13" s="479">
        <v>3286</v>
      </c>
      <c r="AB13" s="479">
        <v>3070</v>
      </c>
      <c r="AC13" s="479">
        <v>4290</v>
      </c>
      <c r="AD13" s="223">
        <v>2696</v>
      </c>
      <c r="AE13" s="223">
        <v>2510</v>
      </c>
      <c r="AF13" s="223">
        <f>4+632</f>
        <v>636</v>
      </c>
      <c r="AG13" s="1465"/>
      <c r="AH13" s="121"/>
      <c r="AI13" s="121">
        <f t="shared" si="10"/>
        <v>7008</v>
      </c>
      <c r="AJ13" s="121">
        <f t="shared" si="11"/>
        <v>7620</v>
      </c>
      <c r="AK13" s="121">
        <f t="shared" si="12"/>
        <v>9632</v>
      </c>
      <c r="AL13" s="121">
        <f t="shared" si="13"/>
        <v>8822</v>
      </c>
      <c r="AM13" s="121">
        <f t="shared" si="14"/>
        <v>6940</v>
      </c>
      <c r="AN13" s="121">
        <f>+X13+AF13</f>
        <v>5066</v>
      </c>
    </row>
    <row r="14" spans="1:40" s="632" customFormat="1" ht="11.25">
      <c r="A14" s="895" t="s">
        <v>23</v>
      </c>
      <c r="B14" s="1446"/>
      <c r="C14" s="770"/>
      <c r="D14" s="770">
        <v>3552</v>
      </c>
      <c r="E14" s="770">
        <v>3882</v>
      </c>
      <c r="F14" s="770">
        <v>3862</v>
      </c>
      <c r="G14" s="770">
        <v>3540</v>
      </c>
      <c r="H14" s="770">
        <v>4100</v>
      </c>
      <c r="I14" s="1447">
        <v>3736</v>
      </c>
      <c r="J14" s="1458"/>
      <c r="K14" s="1459"/>
      <c r="L14" s="1459">
        <v>639</v>
      </c>
      <c r="M14" s="1459">
        <v>166</v>
      </c>
      <c r="N14" s="1459">
        <v>638</v>
      </c>
      <c r="O14" s="1459">
        <v>698</v>
      </c>
      <c r="P14" s="1459">
        <v>742</v>
      </c>
      <c r="Q14" s="1460">
        <v>1032</v>
      </c>
      <c r="R14" s="1461"/>
      <c r="S14" s="1462"/>
      <c r="T14" s="1462">
        <f t="shared" si="3"/>
        <v>4191</v>
      </c>
      <c r="U14" s="1462">
        <f t="shared" si="4"/>
        <v>4048</v>
      </c>
      <c r="V14" s="1462">
        <f t="shared" si="5"/>
        <v>4500</v>
      </c>
      <c r="W14" s="1462">
        <f t="shared" si="6"/>
        <v>4238</v>
      </c>
      <c r="X14" s="1463">
        <f t="shared" si="7"/>
        <v>4842</v>
      </c>
      <c r="Y14" s="1464"/>
      <c r="Z14" s="479"/>
      <c r="AA14" s="479">
        <v>3380</v>
      </c>
      <c r="AB14" s="479">
        <v>3742</v>
      </c>
      <c r="AC14" s="479">
        <v>3268</v>
      </c>
      <c r="AD14" s="223">
        <f>36+2900</f>
        <v>2936</v>
      </c>
      <c r="AE14" s="223">
        <f>4+3344</f>
        <v>3348</v>
      </c>
      <c r="AF14" s="223">
        <v>2654</v>
      </c>
      <c r="AG14" s="1465"/>
      <c r="AH14" s="121"/>
      <c r="AI14" s="121">
        <f t="shared" si="10"/>
        <v>7571</v>
      </c>
      <c r="AJ14" s="121">
        <f t="shared" si="11"/>
        <v>7790</v>
      </c>
      <c r="AK14" s="121">
        <f t="shared" si="12"/>
        <v>7768</v>
      </c>
      <c r="AL14" s="121">
        <f t="shared" si="13"/>
        <v>7174</v>
      </c>
      <c r="AM14" s="121">
        <f t="shared" si="14"/>
        <v>8190</v>
      </c>
      <c r="AN14" s="121">
        <f>+X14+AF14</f>
        <v>7496</v>
      </c>
    </row>
    <row r="15" spans="1:40" s="632" customFormat="1" ht="12" thickBot="1">
      <c r="A15" s="896" t="s">
        <v>24</v>
      </c>
      <c r="B15" s="1466"/>
      <c r="C15" s="1087"/>
      <c r="D15" s="1087">
        <v>4642</v>
      </c>
      <c r="E15" s="1087">
        <v>3972</v>
      </c>
      <c r="F15" s="1087">
        <v>3832</v>
      </c>
      <c r="G15" s="1087">
        <v>3564</v>
      </c>
      <c r="H15" s="1087">
        <v>3204</v>
      </c>
      <c r="I15" s="1467">
        <v>3168</v>
      </c>
      <c r="J15" s="1468"/>
      <c r="K15" s="1469"/>
      <c r="L15" s="1469">
        <v>246</v>
      </c>
      <c r="M15" s="1469">
        <v>92</v>
      </c>
      <c r="N15" s="1469">
        <v>194</v>
      </c>
      <c r="O15" s="1469">
        <v>180</v>
      </c>
      <c r="P15" s="1469">
        <v>914</v>
      </c>
      <c r="Q15" s="1470">
        <v>724</v>
      </c>
      <c r="R15" s="1471"/>
      <c r="S15" s="1472"/>
      <c r="T15" s="1472">
        <f t="shared" si="3"/>
        <v>4888</v>
      </c>
      <c r="U15" s="1472">
        <f t="shared" si="4"/>
        <v>4064</v>
      </c>
      <c r="V15" s="1472">
        <f t="shared" si="5"/>
        <v>4026</v>
      </c>
      <c r="W15" s="1472">
        <f t="shared" si="6"/>
        <v>3744</v>
      </c>
      <c r="X15" s="1473">
        <f t="shared" si="7"/>
        <v>4118</v>
      </c>
      <c r="Y15" s="1464"/>
      <c r="Z15" s="479"/>
      <c r="AA15" s="479">
        <v>4158</v>
      </c>
      <c r="AB15" s="479">
        <v>3524</v>
      </c>
      <c r="AC15" s="479">
        <v>3554</v>
      </c>
      <c r="AD15" s="223">
        <f>4+3434</f>
        <v>3438</v>
      </c>
      <c r="AE15" s="223">
        <f>2+2610</f>
        <v>2612</v>
      </c>
      <c r="AF15" s="223">
        <v>3056</v>
      </c>
      <c r="AG15" s="1465"/>
      <c r="AH15" s="121"/>
      <c r="AI15" s="121">
        <f t="shared" si="10"/>
        <v>9046</v>
      </c>
      <c r="AJ15" s="121">
        <f t="shared" si="11"/>
        <v>7588</v>
      </c>
      <c r="AK15" s="121">
        <f t="shared" si="12"/>
        <v>7580</v>
      </c>
      <c r="AL15" s="121">
        <f t="shared" si="13"/>
        <v>7182</v>
      </c>
      <c r="AM15" s="121">
        <f t="shared" si="14"/>
        <v>6730</v>
      </c>
      <c r="AN15" s="121">
        <f>+X15+AF15</f>
        <v>7174</v>
      </c>
    </row>
    <row r="16" spans="1:40" s="957" customFormat="1" ht="11.25">
      <c r="A16" s="655" t="s">
        <v>25</v>
      </c>
      <c r="B16" s="1474">
        <f>SUM(C16-D16)/D16</f>
        <v>-0.05802089361313313</v>
      </c>
      <c r="C16" s="810">
        <f>SUM(C4:C11)</f>
        <v>30928</v>
      </c>
      <c r="D16" s="810">
        <f aca="true" t="shared" si="15" ref="D16:I16">SUM(D4:D11)</f>
        <v>32833</v>
      </c>
      <c r="E16" s="810">
        <f t="shared" si="15"/>
        <v>37472</v>
      </c>
      <c r="F16" s="810">
        <f t="shared" si="15"/>
        <v>35742</v>
      </c>
      <c r="G16" s="810">
        <f t="shared" si="15"/>
        <v>31864</v>
      </c>
      <c r="H16" s="810">
        <f t="shared" si="15"/>
        <v>28752</v>
      </c>
      <c r="I16" s="810">
        <f t="shared" si="15"/>
        <v>0</v>
      </c>
      <c r="J16" s="1475">
        <f>SUM(K16-M16)/M16</f>
        <v>0.4433399602385686</v>
      </c>
      <c r="K16" s="810">
        <f>SUM(K4:K11)</f>
        <v>1452</v>
      </c>
      <c r="L16" s="810">
        <f aca="true" t="shared" si="16" ref="L16:Q16">SUM(L4:L11)</f>
        <v>950</v>
      </c>
      <c r="M16" s="810">
        <f t="shared" si="16"/>
        <v>1006</v>
      </c>
      <c r="N16" s="810">
        <f t="shared" si="16"/>
        <v>1188</v>
      </c>
      <c r="O16" s="810">
        <f t="shared" si="16"/>
        <v>6152</v>
      </c>
      <c r="P16" s="810">
        <f t="shared" si="16"/>
        <v>6078</v>
      </c>
      <c r="Q16" s="810">
        <f t="shared" si="16"/>
        <v>0</v>
      </c>
      <c r="R16" s="1475">
        <f>SUM(S16-T16)/T16</f>
        <v>-0.04152976349051298</v>
      </c>
      <c r="S16" s="1055">
        <f aca="true" t="shared" si="17" ref="S16:X16">+C16+K16</f>
        <v>32380</v>
      </c>
      <c r="T16" s="1055">
        <f t="shared" si="17"/>
        <v>33783</v>
      </c>
      <c r="U16" s="1055">
        <f t="shared" si="17"/>
        <v>38478</v>
      </c>
      <c r="V16" s="1055">
        <f t="shared" si="17"/>
        <v>36930</v>
      </c>
      <c r="W16" s="1055">
        <f t="shared" si="17"/>
        <v>38016</v>
      </c>
      <c r="X16" s="1476">
        <f t="shared" si="17"/>
        <v>34830</v>
      </c>
      <c r="Y16" s="1475">
        <f>SUM(Z16-AA16)/AA16</f>
        <v>-0.08729522649312346</v>
      </c>
      <c r="Z16" s="810">
        <f>SUM(Z4:Z11)</f>
        <v>28470</v>
      </c>
      <c r="AA16" s="810">
        <f aca="true" t="shared" si="18" ref="AA16:AF16">SUM(AA4:AA11)</f>
        <v>31193</v>
      </c>
      <c r="AB16" s="810">
        <f t="shared" si="18"/>
        <v>31120</v>
      </c>
      <c r="AC16" s="810">
        <f t="shared" si="18"/>
        <v>31640</v>
      </c>
      <c r="AD16" s="810">
        <f t="shared" si="18"/>
        <v>26136</v>
      </c>
      <c r="AE16" s="810">
        <f t="shared" si="18"/>
        <v>22490</v>
      </c>
      <c r="AF16" s="810">
        <f t="shared" si="18"/>
        <v>0</v>
      </c>
      <c r="AG16" s="1477">
        <f>SUM(AI16-AJ16)/AJ16</f>
        <v>-0.06640995430903186</v>
      </c>
      <c r="AH16" s="332">
        <f aca="true" t="shared" si="19" ref="AH16:AM16">+S16+Z16</f>
        <v>60850</v>
      </c>
      <c r="AI16" s="332">
        <f t="shared" si="19"/>
        <v>64976</v>
      </c>
      <c r="AJ16" s="332">
        <f t="shared" si="19"/>
        <v>69598</v>
      </c>
      <c r="AK16" s="332">
        <f t="shared" si="19"/>
        <v>68570</v>
      </c>
      <c r="AL16" s="332">
        <f t="shared" si="19"/>
        <v>64152</v>
      </c>
      <c r="AM16" s="332">
        <f t="shared" si="19"/>
        <v>57320</v>
      </c>
      <c r="AN16" s="332">
        <f>+X16+AF16</f>
        <v>34830</v>
      </c>
    </row>
    <row r="17" spans="1:40" s="957" customFormat="1" ht="12" thickBot="1">
      <c r="A17" s="548" t="s">
        <v>28</v>
      </c>
      <c r="B17" s="1478">
        <f>SUM(C17-D17)/D17</f>
        <v>-0.05736056080463273</v>
      </c>
      <c r="C17" s="335">
        <f>AVERAGE(C4:C15)</f>
        <v>3866</v>
      </c>
      <c r="D17" s="335">
        <f>AVERAGE(D4:D15)</f>
        <v>4101.25</v>
      </c>
      <c r="E17" s="335">
        <f>AVERAGE(E4:E15)</f>
        <v>4482.5</v>
      </c>
      <c r="F17" s="335">
        <f aca="true" t="shared" si="20" ref="F17:X17">AVERAGE(F4:F15)</f>
        <v>4349.166666666667</v>
      </c>
      <c r="G17" s="335">
        <f t="shared" si="20"/>
        <v>3900.8333333333335</v>
      </c>
      <c r="H17" s="335">
        <f t="shared" si="20"/>
        <v>3655.3333333333335</v>
      </c>
      <c r="I17" s="837">
        <f t="shared" si="20"/>
        <v>2545.3333333333335</v>
      </c>
      <c r="J17" s="1478">
        <f>SUM(K17-M17)/M17</f>
        <v>0.33455882352941174</v>
      </c>
      <c r="K17" s="1479">
        <f t="shared" si="20"/>
        <v>181.5</v>
      </c>
      <c r="L17" s="1479">
        <f>AVERAGE(L4:L15)</f>
        <v>180.58333333333334</v>
      </c>
      <c r="M17" s="335">
        <f>AVERAGE(M4:M15)</f>
        <v>136</v>
      </c>
      <c r="N17" s="335">
        <f t="shared" si="20"/>
        <v>248.25</v>
      </c>
      <c r="O17" s="335">
        <f t="shared" si="20"/>
        <v>744.8333333333334</v>
      </c>
      <c r="P17" s="335">
        <f t="shared" si="20"/>
        <v>761.8333333333334</v>
      </c>
      <c r="Q17" s="335">
        <f t="shared" si="20"/>
        <v>157.33333333333334</v>
      </c>
      <c r="R17" s="1478">
        <f>SUM(S17-T17)/T17</f>
        <v>-0.05472733642131479</v>
      </c>
      <c r="S17" s="335">
        <f>AVERAGE(S4:S15)</f>
        <v>4047.5</v>
      </c>
      <c r="T17" s="335">
        <f>AVERAGE(T4:T15)</f>
        <v>4281.833333333333</v>
      </c>
      <c r="U17" s="335">
        <f t="shared" si="20"/>
        <v>4618.5</v>
      </c>
      <c r="V17" s="335">
        <f t="shared" si="20"/>
        <v>4597.416666666667</v>
      </c>
      <c r="W17" s="335">
        <f t="shared" si="20"/>
        <v>4645.666666666667</v>
      </c>
      <c r="X17" s="1480">
        <f t="shared" si="20"/>
        <v>4417.166666666667</v>
      </c>
      <c r="Y17" s="1478">
        <f>SUM(Z17-AA17)/AA17</f>
        <v>-0.0800499773809267</v>
      </c>
      <c r="Z17" s="335">
        <f>AVERAGE(Z4:Z15)</f>
        <v>3558.75</v>
      </c>
      <c r="AA17" s="335">
        <f>AVERAGE(AA4:AA15)</f>
        <v>3868.4166666666665</v>
      </c>
      <c r="AB17" s="335">
        <f>AVERAGE(AB4:AB15)</f>
        <v>3706.3333333333335</v>
      </c>
      <c r="AC17" s="335">
        <f aca="true" t="shared" si="21" ref="AC17:AN17">AVERAGE(AC4:AC15)</f>
        <v>3831.8333333333335</v>
      </c>
      <c r="AD17" s="335">
        <f t="shared" si="21"/>
        <v>3090.1666666666665</v>
      </c>
      <c r="AE17" s="335">
        <f t="shared" si="21"/>
        <v>2834.8333333333335</v>
      </c>
      <c r="AF17" s="837">
        <f t="shared" si="21"/>
        <v>2115.3333333333335</v>
      </c>
      <c r="AG17" s="1481">
        <f>SUM(AI17-AJ17)/AJ17</f>
        <v>-0.02097139081863508</v>
      </c>
      <c r="AH17" s="335">
        <f>AVERAGE(AH4:AH15)</f>
        <v>7606.25</v>
      </c>
      <c r="AI17" s="335">
        <f>AVERAGE(AI4:AI15)</f>
        <v>8150.25</v>
      </c>
      <c r="AJ17" s="335">
        <f t="shared" si="21"/>
        <v>8324.833333333334</v>
      </c>
      <c r="AK17" s="335">
        <f t="shared" si="21"/>
        <v>8429.25</v>
      </c>
      <c r="AL17" s="335">
        <f t="shared" si="21"/>
        <v>7735.833333333333</v>
      </c>
      <c r="AM17" s="335">
        <f t="shared" si="21"/>
        <v>7252</v>
      </c>
      <c r="AN17" s="837">
        <f t="shared" si="21"/>
        <v>6578.666666666667</v>
      </c>
    </row>
  </sheetData>
  <mergeCells count="7">
    <mergeCell ref="AG3:AN3"/>
    <mergeCell ref="A1:A2"/>
    <mergeCell ref="AJ1:AN1"/>
    <mergeCell ref="Y3:AF3"/>
    <mergeCell ref="B3:I3"/>
    <mergeCell ref="J3:Q3"/>
    <mergeCell ref="R3:X3"/>
  </mergeCells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L17"/>
  <sheetViews>
    <sheetView workbookViewId="0" topLeftCell="A1">
      <pane xSplit="1" ySplit="3" topLeftCell="AA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140625" defaultRowHeight="12.75"/>
  <cols>
    <col min="1" max="1" width="13.8515625" style="0" customWidth="1"/>
    <col min="2" max="2" width="10.421875" style="0" bestFit="1" customWidth="1"/>
    <col min="3" max="5" width="6.57421875" style="0" customWidth="1"/>
    <col min="6" max="7" width="6.57421875" style="0" bestFit="1" customWidth="1"/>
    <col min="8" max="8" width="10.00390625" style="0" bestFit="1" customWidth="1"/>
    <col min="9" max="12" width="6.57421875" style="0" customWidth="1"/>
    <col min="13" max="13" width="6.57421875" style="0" bestFit="1" customWidth="1"/>
    <col min="14" max="14" width="10.421875" style="0" bestFit="1" customWidth="1"/>
    <col min="15" max="18" width="5.7109375" style="0" bestFit="1" customWidth="1"/>
    <col min="19" max="19" width="5.7109375" style="0" customWidth="1"/>
    <col min="20" max="20" width="9.57421875" style="0" bestFit="1" customWidth="1"/>
    <col min="21" max="25" width="6.57421875" style="0" bestFit="1" customWidth="1"/>
    <col min="26" max="26" width="10.00390625" style="0" bestFit="1" customWidth="1"/>
    <col min="27" max="31" width="6.57421875" style="0" bestFit="1" customWidth="1"/>
    <col min="32" max="32" width="10.00390625" style="0" bestFit="1" customWidth="1"/>
    <col min="33" max="33" width="9.140625" style="0" bestFit="1" customWidth="1"/>
    <col min="34" max="36" width="7.8515625" style="0" bestFit="1" customWidth="1"/>
    <col min="37" max="37" width="6.57421875" style="0" bestFit="1" customWidth="1"/>
    <col min="38" max="38" width="10.00390625" style="0" bestFit="1" customWidth="1"/>
    <col min="39" max="42" width="8.7109375" style="0" bestFit="1" customWidth="1"/>
  </cols>
  <sheetData>
    <row r="1" spans="1:42" s="319" customFormat="1" ht="13.5" thickBot="1">
      <c r="A1" s="1866" t="s">
        <v>136</v>
      </c>
      <c r="B1" s="1867" t="s">
        <v>67</v>
      </c>
      <c r="C1" s="1868"/>
      <c r="D1" s="1822"/>
      <c r="E1" s="1822"/>
      <c r="F1" s="1822"/>
      <c r="G1" s="1822"/>
      <c r="H1" s="1822"/>
      <c r="I1" s="1822"/>
      <c r="J1" s="1822"/>
      <c r="K1" s="1822"/>
      <c r="L1" s="1822"/>
      <c r="M1" s="1822"/>
      <c r="N1" s="2090" t="s">
        <v>65</v>
      </c>
      <c r="O1" s="2091"/>
      <c r="P1" s="2091"/>
      <c r="Q1" s="2091"/>
      <c r="R1" s="2091"/>
      <c r="S1" s="2091"/>
      <c r="T1" s="1953" t="s">
        <v>2</v>
      </c>
      <c r="U1" s="1954"/>
      <c r="V1" s="2089"/>
      <c r="W1" s="2089"/>
      <c r="X1" s="2089"/>
      <c r="Y1" s="2089"/>
      <c r="Z1" s="2092" t="s">
        <v>3</v>
      </c>
      <c r="AA1" s="1956"/>
      <c r="AB1" s="1957"/>
      <c r="AC1" s="1957"/>
      <c r="AD1" s="1957"/>
      <c r="AE1" s="1957"/>
      <c r="AF1" s="1927" t="s">
        <v>66</v>
      </c>
      <c r="AG1" s="1928"/>
      <c r="AH1" s="1928"/>
      <c r="AI1" s="1928"/>
      <c r="AJ1" s="1928"/>
      <c r="AK1" s="1869"/>
      <c r="AL1" s="1950" t="s">
        <v>129</v>
      </c>
      <c r="AM1" s="1951"/>
      <c r="AN1" s="1951"/>
      <c r="AO1" s="1951"/>
      <c r="AP1" s="1952"/>
    </row>
    <row r="2" spans="1:42" s="319" customFormat="1" ht="12.75" thickBot="1" thickTop="1">
      <c r="A2" s="1902"/>
      <c r="B2" s="127" t="s">
        <v>193</v>
      </c>
      <c r="C2" s="128">
        <v>2007</v>
      </c>
      <c r="D2" s="128">
        <v>2007</v>
      </c>
      <c r="E2" s="128">
        <v>2006</v>
      </c>
      <c r="F2" s="128">
        <v>2005</v>
      </c>
      <c r="G2" s="128">
        <v>2004</v>
      </c>
      <c r="H2" s="834" t="s">
        <v>192</v>
      </c>
      <c r="I2" s="835">
        <v>2008</v>
      </c>
      <c r="J2" s="835">
        <v>2007</v>
      </c>
      <c r="K2" s="835">
        <v>2006</v>
      </c>
      <c r="L2" s="835">
        <v>2005</v>
      </c>
      <c r="M2" s="835">
        <v>2004</v>
      </c>
      <c r="N2" s="617" t="s">
        <v>191</v>
      </c>
      <c r="O2" s="252">
        <v>2008</v>
      </c>
      <c r="P2" s="252">
        <v>2007</v>
      </c>
      <c r="Q2" s="252">
        <v>2006</v>
      </c>
      <c r="R2" s="252">
        <v>2005</v>
      </c>
      <c r="S2" s="252">
        <v>2004</v>
      </c>
      <c r="T2" s="129" t="s">
        <v>180</v>
      </c>
      <c r="U2" s="130">
        <v>2008</v>
      </c>
      <c r="V2" s="130">
        <v>2007</v>
      </c>
      <c r="W2" s="130">
        <v>2006</v>
      </c>
      <c r="X2" s="130">
        <v>2005</v>
      </c>
      <c r="Y2" s="130">
        <v>2004</v>
      </c>
      <c r="Z2" s="117" t="s">
        <v>179</v>
      </c>
      <c r="AA2" s="112">
        <v>2008</v>
      </c>
      <c r="AB2" s="112">
        <v>2007</v>
      </c>
      <c r="AC2" s="112">
        <v>2006</v>
      </c>
      <c r="AD2" s="112">
        <v>2005</v>
      </c>
      <c r="AE2" s="112">
        <v>2004</v>
      </c>
      <c r="AF2" s="118" t="s">
        <v>179</v>
      </c>
      <c r="AG2" s="114">
        <v>2008</v>
      </c>
      <c r="AH2" s="114">
        <v>2006</v>
      </c>
      <c r="AI2" s="114">
        <v>2006</v>
      </c>
      <c r="AJ2" s="114">
        <v>2005</v>
      </c>
      <c r="AK2" s="114">
        <v>2004</v>
      </c>
      <c r="AL2" s="522" t="s">
        <v>179</v>
      </c>
      <c r="AM2" s="523">
        <v>2008</v>
      </c>
      <c r="AN2" s="523">
        <v>2007</v>
      </c>
      <c r="AO2" s="523">
        <v>2006</v>
      </c>
      <c r="AP2" s="524">
        <v>2005</v>
      </c>
    </row>
    <row r="3" spans="1:42" s="534" customFormat="1" ht="13.5" thickBot="1">
      <c r="A3" s="326"/>
      <c r="B3" s="1875" t="s">
        <v>134</v>
      </c>
      <c r="C3" s="1876"/>
      <c r="D3" s="1876"/>
      <c r="E3" s="1876"/>
      <c r="F3" s="1877"/>
      <c r="G3" s="1877"/>
      <c r="H3" s="1875" t="s">
        <v>135</v>
      </c>
      <c r="I3" s="1876"/>
      <c r="J3" s="1876"/>
      <c r="K3" s="1876"/>
      <c r="L3" s="1877"/>
      <c r="M3" s="1862"/>
      <c r="N3" s="1893" t="s">
        <v>133</v>
      </c>
      <c r="O3" s="1884"/>
      <c r="P3" s="1884"/>
      <c r="Q3" s="1884"/>
      <c r="R3" s="1872"/>
      <c r="S3" s="1873"/>
      <c r="T3" s="1876" t="s">
        <v>127</v>
      </c>
      <c r="U3" s="1876"/>
      <c r="V3" s="1876"/>
      <c r="W3" s="1876"/>
      <c r="X3" s="1877"/>
      <c r="Y3" s="1877"/>
      <c r="Z3" s="1875" t="s">
        <v>101</v>
      </c>
      <c r="AA3" s="1876"/>
      <c r="AB3" s="1876"/>
      <c r="AC3" s="1876"/>
      <c r="AD3" s="1877"/>
      <c r="AE3" s="1877"/>
      <c r="AF3" s="1890"/>
      <c r="AG3" s="1896"/>
      <c r="AH3" s="1822"/>
      <c r="AI3" s="1822"/>
      <c r="AJ3" s="1822"/>
      <c r="AK3" s="1926"/>
      <c r="AL3" s="1930"/>
      <c r="AM3" s="1931"/>
      <c r="AN3" s="1907"/>
      <c r="AO3" s="1907"/>
      <c r="AP3" s="1908"/>
    </row>
    <row r="4" spans="1:42" s="319" customFormat="1" ht="11.25">
      <c r="A4" s="535" t="s">
        <v>13</v>
      </c>
      <c r="B4" s="139">
        <f aca="true" t="shared" si="0" ref="B4:B9">SUM(C4-D4)/D4</f>
        <v>0.21975713480555414</v>
      </c>
      <c r="C4" s="536">
        <v>71418</v>
      </c>
      <c r="D4" s="536">
        <v>58551</v>
      </c>
      <c r="E4" s="536">
        <v>56473</v>
      </c>
      <c r="F4" s="536">
        <v>42894</v>
      </c>
      <c r="G4" s="536">
        <v>37497</v>
      </c>
      <c r="H4" s="1064">
        <f aca="true" t="shared" si="1" ref="H4:H9">SUM(I4-J4)/J4</f>
        <v>0.04075104111128723</v>
      </c>
      <c r="I4" s="1210">
        <v>72225</v>
      </c>
      <c r="J4" s="1210">
        <f>80081-10684</f>
        <v>69397</v>
      </c>
      <c r="K4" s="1210">
        <v>66200</v>
      </c>
      <c r="L4" s="1210">
        <v>59066</v>
      </c>
      <c r="M4" s="1210">
        <v>52575</v>
      </c>
      <c r="N4" s="517">
        <f aca="true" t="shared" si="2" ref="N4:N9">SUM(O4-P4)/P4</f>
        <v>0.117627512875893</v>
      </c>
      <c r="O4" s="254">
        <v>13454</v>
      </c>
      <c r="P4" s="254">
        <f>16034-3996</f>
        <v>12038</v>
      </c>
      <c r="Q4" s="254">
        <v>8777</v>
      </c>
      <c r="R4" s="254">
        <v>6007</v>
      </c>
      <c r="S4" s="254">
        <v>8269</v>
      </c>
      <c r="T4" s="143">
        <f aca="true" t="shared" si="3" ref="T4:T9">SUM(U4-V4)/V4</f>
        <v>0.12223365193662224</v>
      </c>
      <c r="U4" s="538">
        <f>+C4+I4+O4</f>
        <v>157097</v>
      </c>
      <c r="V4" s="538">
        <f>+D4+J4+P4</f>
        <v>139986</v>
      </c>
      <c r="W4" s="538">
        <f>+E4+K4+Q4</f>
        <v>131450</v>
      </c>
      <c r="X4" s="538">
        <f>+F4+L4+R4</f>
        <v>107967</v>
      </c>
      <c r="Y4" s="615">
        <f>+G4+M4+S4</f>
        <v>98341</v>
      </c>
      <c r="Z4" s="141">
        <f aca="true" t="shared" si="4" ref="Z4:Z9">SUM(AA4-AB4)/AB4</f>
        <v>0.059242533100687673</v>
      </c>
      <c r="AA4" s="537">
        <v>51601</v>
      </c>
      <c r="AB4" s="537">
        <v>48715</v>
      </c>
      <c r="AC4" s="537">
        <v>43701</v>
      </c>
      <c r="AD4" s="537">
        <v>43914</v>
      </c>
      <c r="AE4" s="1001">
        <v>39147</v>
      </c>
      <c r="AF4" s="175">
        <f aca="true" t="shared" si="5" ref="AF4:AF10">SUM(AG4-AH4)/AH4</f>
        <v>0.10597188144206973</v>
      </c>
      <c r="AG4" s="197">
        <f>U4+AA4</f>
        <v>208698</v>
      </c>
      <c r="AH4" s="197">
        <f>V4+AB4</f>
        <v>188701</v>
      </c>
      <c r="AI4" s="197">
        <f>W4+AC4</f>
        <v>175151</v>
      </c>
      <c r="AJ4" s="197">
        <f>X4+AD4</f>
        <v>151881</v>
      </c>
      <c r="AK4" s="198">
        <f>Y4+AE4</f>
        <v>137488</v>
      </c>
      <c r="AL4" s="1330">
        <f aca="true" t="shared" si="6" ref="AL4:AL9">SUM(AM4-AN4)/AN4</f>
        <v>0.11233034463339754</v>
      </c>
      <c r="AM4" s="525">
        <v>2287286</v>
      </c>
      <c r="AN4" s="525">
        <v>2056301</v>
      </c>
      <c r="AO4" s="525">
        <v>1865753</v>
      </c>
      <c r="AP4" s="528">
        <v>1580369</v>
      </c>
    </row>
    <row r="5" spans="1:64" s="319" customFormat="1" ht="11.25">
      <c r="A5" s="539" t="s">
        <v>14</v>
      </c>
      <c r="B5" s="140">
        <f t="shared" si="0"/>
        <v>0.14557950640424866</v>
      </c>
      <c r="C5" s="540">
        <v>62339</v>
      </c>
      <c r="D5" s="540">
        <v>54417</v>
      </c>
      <c r="E5" s="540">
        <v>46797</v>
      </c>
      <c r="F5" s="540">
        <v>38652</v>
      </c>
      <c r="G5" s="540">
        <v>24990</v>
      </c>
      <c r="H5" s="1065">
        <f t="shared" si="1"/>
        <v>-0.085945931717076</v>
      </c>
      <c r="I5" s="1071">
        <v>69448</v>
      </c>
      <c r="J5" s="1071">
        <v>75978</v>
      </c>
      <c r="K5" s="1071">
        <v>75912</v>
      </c>
      <c r="L5" s="1071">
        <v>64152</v>
      </c>
      <c r="M5" s="1071">
        <v>40159</v>
      </c>
      <c r="N5" s="380">
        <f t="shared" si="2"/>
        <v>-0.36526093832366896</v>
      </c>
      <c r="O5" s="246">
        <v>12041</v>
      </c>
      <c r="P5" s="246">
        <v>18970</v>
      </c>
      <c r="Q5" s="246">
        <v>8837</v>
      </c>
      <c r="R5" s="246">
        <v>7751</v>
      </c>
      <c r="S5" s="246">
        <v>6405</v>
      </c>
      <c r="T5" s="132">
        <f t="shared" si="3"/>
        <v>-0.03707026411809996</v>
      </c>
      <c r="U5" s="542">
        <f aca="true" t="shared" si="7" ref="U5:V15">+C5+I5+O5</f>
        <v>143828</v>
      </c>
      <c r="V5" s="542">
        <f t="shared" si="7"/>
        <v>149365</v>
      </c>
      <c r="W5" s="542">
        <f aca="true" t="shared" si="8" ref="W5:W15">+E5+K5+Q5</f>
        <v>131546</v>
      </c>
      <c r="X5" s="542">
        <f aca="true" t="shared" si="9" ref="X5:X15">+F5+L5+R5</f>
        <v>110555</v>
      </c>
      <c r="Y5" s="616">
        <f aca="true" t="shared" si="10" ref="Y5:Y15">+G5+M5+S5</f>
        <v>71554</v>
      </c>
      <c r="Z5" s="119">
        <f t="shared" si="4"/>
        <v>-0.1723252155558653</v>
      </c>
      <c r="AA5" s="541">
        <v>41565</v>
      </c>
      <c r="AB5" s="541">
        <v>50219</v>
      </c>
      <c r="AC5" s="541">
        <v>44572</v>
      </c>
      <c r="AD5" s="541">
        <v>40053</v>
      </c>
      <c r="AE5" s="1002">
        <v>27197</v>
      </c>
      <c r="AF5" s="120">
        <f t="shared" si="5"/>
        <v>-0.07110289401956069</v>
      </c>
      <c r="AG5" s="121">
        <f>U5+AA5</f>
        <v>185393</v>
      </c>
      <c r="AH5" s="121">
        <f aca="true" t="shared" si="11" ref="AH5:AH15">V5+AB5</f>
        <v>199584</v>
      </c>
      <c r="AI5" s="121">
        <f aca="true" t="shared" si="12" ref="AI5:AI15">W5+AC5</f>
        <v>176118</v>
      </c>
      <c r="AJ5" s="121">
        <f aca="true" t="shared" si="13" ref="AJ5:AJ15">X5+AD5</f>
        <v>150608</v>
      </c>
      <c r="AK5" s="122">
        <f aca="true" t="shared" si="14" ref="AK5:AK15">Y5+AE5</f>
        <v>98751</v>
      </c>
      <c r="AL5" s="526">
        <f t="shared" si="6"/>
        <v>-0.049082553484347424</v>
      </c>
      <c r="AM5" s="527">
        <v>2078096</v>
      </c>
      <c r="AN5" s="527">
        <v>2185359</v>
      </c>
      <c r="AO5" s="527">
        <v>1879324</v>
      </c>
      <c r="AP5" s="529">
        <v>1638428</v>
      </c>
      <c r="BH5" s="543"/>
      <c r="BI5" s="543"/>
      <c r="BJ5" s="543"/>
      <c r="BK5" s="543"/>
      <c r="BL5" s="543"/>
    </row>
    <row r="6" spans="1:59" s="543" customFormat="1" ht="11.25">
      <c r="A6" s="539" t="s">
        <v>15</v>
      </c>
      <c r="B6" s="140">
        <f t="shared" si="0"/>
        <v>0.29534883720930233</v>
      </c>
      <c r="C6" s="540">
        <v>74638</v>
      </c>
      <c r="D6" s="540">
        <v>57620</v>
      </c>
      <c r="E6" s="540">
        <v>49795</v>
      </c>
      <c r="F6" s="540">
        <v>50005</v>
      </c>
      <c r="G6" s="540">
        <v>39794</v>
      </c>
      <c r="H6" s="1065">
        <f t="shared" si="1"/>
        <v>0.015883528964442974</v>
      </c>
      <c r="I6" s="1071">
        <v>82826</v>
      </c>
      <c r="J6" s="1071">
        <v>81531</v>
      </c>
      <c r="K6" s="1071">
        <v>75132</v>
      </c>
      <c r="L6" s="1071">
        <v>78219</v>
      </c>
      <c r="M6" s="1071">
        <v>64437</v>
      </c>
      <c r="N6" s="380">
        <f t="shared" si="2"/>
        <v>-0.07890032669666523</v>
      </c>
      <c r="O6" s="246">
        <v>14943</v>
      </c>
      <c r="P6" s="246">
        <v>16223</v>
      </c>
      <c r="Q6" s="246">
        <v>12212</v>
      </c>
      <c r="R6" s="246">
        <v>7029</v>
      </c>
      <c r="S6" s="246">
        <v>5743</v>
      </c>
      <c r="T6" s="132">
        <f t="shared" si="3"/>
        <v>0.10962580611942796</v>
      </c>
      <c r="U6" s="542">
        <f>+C6+I6+O6</f>
        <v>172407</v>
      </c>
      <c r="V6" s="542">
        <f t="shared" si="7"/>
        <v>155374</v>
      </c>
      <c r="W6" s="542">
        <f t="shared" si="8"/>
        <v>137139</v>
      </c>
      <c r="X6" s="542">
        <f t="shared" si="9"/>
        <v>135253</v>
      </c>
      <c r="Y6" s="616">
        <f t="shared" si="10"/>
        <v>109974</v>
      </c>
      <c r="Z6" s="119">
        <f t="shared" si="4"/>
        <v>-0.06550307626535809</v>
      </c>
      <c r="AA6" s="541">
        <v>50275</v>
      </c>
      <c r="AB6" s="541">
        <v>53799</v>
      </c>
      <c r="AC6" s="541">
        <v>50737</v>
      </c>
      <c r="AD6" s="541">
        <v>52639</v>
      </c>
      <c r="AE6" s="1002">
        <v>40940</v>
      </c>
      <c r="AF6" s="120">
        <f t="shared" si="5"/>
        <v>0.0645829050594484</v>
      </c>
      <c r="AG6" s="121">
        <f>U6+AA6</f>
        <v>222682</v>
      </c>
      <c r="AH6" s="121">
        <f t="shared" si="11"/>
        <v>209173</v>
      </c>
      <c r="AI6" s="121">
        <f t="shared" si="12"/>
        <v>187876</v>
      </c>
      <c r="AJ6" s="121">
        <f t="shared" si="13"/>
        <v>187892</v>
      </c>
      <c r="AK6" s="122">
        <f t="shared" si="14"/>
        <v>150914</v>
      </c>
      <c r="AL6" s="526">
        <f t="shared" si="6"/>
        <v>0.10713483058905406</v>
      </c>
      <c r="AM6" s="527">
        <v>2497591</v>
      </c>
      <c r="AN6" s="527">
        <v>2255905</v>
      </c>
      <c r="AO6" s="527">
        <v>2004712</v>
      </c>
      <c r="AP6" s="529">
        <v>1991644</v>
      </c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</row>
    <row r="7" spans="1:59" s="543" customFormat="1" ht="11.25">
      <c r="A7" s="539" t="s">
        <v>16</v>
      </c>
      <c r="B7" s="140">
        <f t="shared" si="0"/>
        <v>0.21636966060714605</v>
      </c>
      <c r="C7" s="540">
        <v>67916</v>
      </c>
      <c r="D7" s="540">
        <v>55835</v>
      </c>
      <c r="E7" s="540">
        <v>58055</v>
      </c>
      <c r="F7" s="540">
        <v>45000</v>
      </c>
      <c r="G7" s="540">
        <v>41958</v>
      </c>
      <c r="H7" s="1065">
        <f t="shared" si="1"/>
        <v>-0.022723581637072325</v>
      </c>
      <c r="I7" s="1071">
        <v>72209</v>
      </c>
      <c r="J7" s="1071">
        <v>73888</v>
      </c>
      <c r="K7" s="1071">
        <v>81317</v>
      </c>
      <c r="L7" s="1071">
        <v>74589</v>
      </c>
      <c r="M7" s="1071">
        <v>63818</v>
      </c>
      <c r="N7" s="380">
        <f t="shared" si="2"/>
        <v>-0.29989434139469356</v>
      </c>
      <c r="O7" s="246">
        <v>11927</v>
      </c>
      <c r="P7" s="246">
        <v>17036</v>
      </c>
      <c r="Q7" s="246">
        <v>15417</v>
      </c>
      <c r="R7" s="246">
        <v>10311</v>
      </c>
      <c r="S7" s="246">
        <v>8001</v>
      </c>
      <c r="T7" s="132">
        <f t="shared" si="3"/>
        <v>0.0360659312205725</v>
      </c>
      <c r="U7" s="542">
        <f>+C7+I7+O7</f>
        <v>152052</v>
      </c>
      <c r="V7" s="542">
        <f t="shared" si="7"/>
        <v>146759</v>
      </c>
      <c r="W7" s="542">
        <f t="shared" si="8"/>
        <v>154789</v>
      </c>
      <c r="X7" s="542">
        <f t="shared" si="9"/>
        <v>129900</v>
      </c>
      <c r="Y7" s="616">
        <f t="shared" si="10"/>
        <v>113777</v>
      </c>
      <c r="Z7" s="119">
        <f t="shared" si="4"/>
        <v>-0.1352768188211226</v>
      </c>
      <c r="AA7" s="541">
        <v>47341</v>
      </c>
      <c r="AB7" s="541">
        <v>54747</v>
      </c>
      <c r="AC7" s="541">
        <v>42727</v>
      </c>
      <c r="AD7" s="541">
        <v>44033</v>
      </c>
      <c r="AE7" s="1002">
        <v>42668</v>
      </c>
      <c r="AF7" s="120">
        <f t="shared" si="5"/>
        <v>-0.010486040117912121</v>
      </c>
      <c r="AG7" s="121">
        <f>U7+AA7</f>
        <v>199393</v>
      </c>
      <c r="AH7" s="121">
        <f t="shared" si="11"/>
        <v>201506</v>
      </c>
      <c r="AI7" s="121">
        <f t="shared" si="12"/>
        <v>197516</v>
      </c>
      <c r="AJ7" s="121">
        <f t="shared" si="13"/>
        <v>173933</v>
      </c>
      <c r="AK7" s="122">
        <f t="shared" si="14"/>
        <v>156445</v>
      </c>
      <c r="AL7" s="526">
        <f t="shared" si="6"/>
        <v>0.03840822038718326</v>
      </c>
      <c r="AM7" s="527">
        <v>2200008</v>
      </c>
      <c r="AN7" s="527">
        <v>2118635</v>
      </c>
      <c r="AO7" s="527">
        <v>2194742</v>
      </c>
      <c r="AP7" s="529">
        <v>1906755</v>
      </c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</row>
    <row r="8" spans="1:59" s="543" customFormat="1" ht="11.25">
      <c r="A8" s="539" t="s">
        <v>17</v>
      </c>
      <c r="B8" s="140">
        <f t="shared" si="0"/>
        <v>0.27165432010188156</v>
      </c>
      <c r="C8" s="540">
        <v>70896</v>
      </c>
      <c r="D8" s="540">
        <v>55751</v>
      </c>
      <c r="E8" s="540">
        <v>52755</v>
      </c>
      <c r="F8" s="540">
        <v>50900</v>
      </c>
      <c r="G8" s="540">
        <v>46761</v>
      </c>
      <c r="H8" s="1065">
        <f t="shared" si="1"/>
        <v>-0.04330271525184213</v>
      </c>
      <c r="I8" s="1071">
        <v>75824</v>
      </c>
      <c r="J8" s="1071">
        <v>79256</v>
      </c>
      <c r="K8" s="1071">
        <v>77363</v>
      </c>
      <c r="L8" s="1071">
        <v>82969</v>
      </c>
      <c r="M8" s="1071">
        <v>73694</v>
      </c>
      <c r="N8" s="380">
        <f t="shared" si="2"/>
        <v>0.04980983928352349</v>
      </c>
      <c r="O8" s="246">
        <v>17114</v>
      </c>
      <c r="P8" s="246">
        <v>16302</v>
      </c>
      <c r="Q8" s="246">
        <v>17540</v>
      </c>
      <c r="R8" s="246">
        <v>8343</v>
      </c>
      <c r="S8" s="246">
        <v>8911</v>
      </c>
      <c r="T8" s="132">
        <f t="shared" si="3"/>
        <v>0.08277762723962223</v>
      </c>
      <c r="U8" s="542">
        <f>+C8+I8+O8</f>
        <v>163834</v>
      </c>
      <c r="V8" s="542">
        <f t="shared" si="7"/>
        <v>151309</v>
      </c>
      <c r="W8" s="542">
        <f t="shared" si="8"/>
        <v>147658</v>
      </c>
      <c r="X8" s="542">
        <f t="shared" si="9"/>
        <v>142212</v>
      </c>
      <c r="Y8" s="616">
        <f t="shared" si="10"/>
        <v>129366</v>
      </c>
      <c r="Z8" s="119">
        <f t="shared" si="4"/>
        <v>-0.09895189465197528</v>
      </c>
      <c r="AA8" s="541">
        <v>50292</v>
      </c>
      <c r="AB8" s="541">
        <v>55815</v>
      </c>
      <c r="AC8" s="541">
        <v>47879</v>
      </c>
      <c r="AD8" s="541">
        <v>58831</v>
      </c>
      <c r="AE8" s="1002">
        <v>47319</v>
      </c>
      <c r="AF8" s="120">
        <f t="shared" si="5"/>
        <v>0.03380583611749483</v>
      </c>
      <c r="AG8" s="121">
        <f>U8+AA8</f>
        <v>214126</v>
      </c>
      <c r="AH8" s="121">
        <f t="shared" si="11"/>
        <v>207124</v>
      </c>
      <c r="AI8" s="121">
        <f t="shared" si="12"/>
        <v>195537</v>
      </c>
      <c r="AJ8" s="121">
        <f t="shared" si="13"/>
        <v>201043</v>
      </c>
      <c r="AK8" s="122">
        <f t="shared" si="14"/>
        <v>176685</v>
      </c>
      <c r="AL8" s="1331">
        <f t="shared" si="6"/>
        <v>0.06978347309800863</v>
      </c>
      <c r="AM8" s="527">
        <v>2369733</v>
      </c>
      <c r="AN8" s="527">
        <v>2215152</v>
      </c>
      <c r="AO8" s="527">
        <v>2106867</v>
      </c>
      <c r="AP8" s="529">
        <v>2080838</v>
      </c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</row>
    <row r="9" spans="1:59" s="543" customFormat="1" ht="11.25">
      <c r="A9" s="539" t="s">
        <v>18</v>
      </c>
      <c r="B9" s="140">
        <f t="shared" si="0"/>
        <v>0.2480236821744542</v>
      </c>
      <c r="C9" s="540">
        <v>74200</v>
      </c>
      <c r="D9" s="540">
        <v>59454</v>
      </c>
      <c r="E9" s="540">
        <v>52558</v>
      </c>
      <c r="F9" s="540">
        <v>51839</v>
      </c>
      <c r="G9" s="540">
        <v>45369</v>
      </c>
      <c r="H9" s="1065">
        <f t="shared" si="1"/>
        <v>0.0020544808722880235</v>
      </c>
      <c r="I9" s="1071">
        <v>80965</v>
      </c>
      <c r="J9" s="1071">
        <v>80799</v>
      </c>
      <c r="K9" s="1071">
        <v>90517</v>
      </c>
      <c r="L9" s="1071">
        <v>80526</v>
      </c>
      <c r="M9" s="1071">
        <v>68799</v>
      </c>
      <c r="N9" s="380">
        <f t="shared" si="2"/>
        <v>0.0766939171400859</v>
      </c>
      <c r="O9" s="246">
        <v>15541</v>
      </c>
      <c r="P9" s="246">
        <v>14434</v>
      </c>
      <c r="Q9" s="246">
        <v>18355</v>
      </c>
      <c r="R9" s="246">
        <v>10562</v>
      </c>
      <c r="S9" s="246">
        <v>7867</v>
      </c>
      <c r="T9" s="132">
        <f t="shared" si="3"/>
        <v>0.1035575064485057</v>
      </c>
      <c r="U9" s="542">
        <f>+C9+I9+O9</f>
        <v>170706</v>
      </c>
      <c r="V9" s="542">
        <f t="shared" si="7"/>
        <v>154687</v>
      </c>
      <c r="W9" s="542">
        <f t="shared" si="8"/>
        <v>161430</v>
      </c>
      <c r="X9" s="542">
        <f t="shared" si="9"/>
        <v>142927</v>
      </c>
      <c r="Y9" s="616">
        <f t="shared" si="10"/>
        <v>122035</v>
      </c>
      <c r="Z9" s="119">
        <f t="shared" si="4"/>
        <v>-0.07143618154698488</v>
      </c>
      <c r="AA9" s="541">
        <v>52293</v>
      </c>
      <c r="AB9" s="541">
        <v>56316</v>
      </c>
      <c r="AC9" s="541">
        <v>50244</v>
      </c>
      <c r="AD9" s="544">
        <v>66498</v>
      </c>
      <c r="AE9" s="1002">
        <v>41903</v>
      </c>
      <c r="AF9" s="120">
        <f t="shared" si="5"/>
        <v>0.05685227224257475</v>
      </c>
      <c r="AG9" s="121">
        <f>U9+AA9</f>
        <v>222999</v>
      </c>
      <c r="AH9" s="121">
        <f t="shared" si="11"/>
        <v>211003</v>
      </c>
      <c r="AI9" s="121">
        <f t="shared" si="12"/>
        <v>211674</v>
      </c>
      <c r="AJ9" s="121">
        <f t="shared" si="13"/>
        <v>209425</v>
      </c>
      <c r="AK9" s="122">
        <f t="shared" si="14"/>
        <v>163938</v>
      </c>
      <c r="AL9" s="1331">
        <f t="shared" si="6"/>
        <v>0.10498579012938576</v>
      </c>
      <c r="AM9" s="527">
        <v>2517151</v>
      </c>
      <c r="AN9" s="527">
        <v>2277994</v>
      </c>
      <c r="AO9" s="527">
        <v>2335228</v>
      </c>
      <c r="AP9" s="529">
        <v>2092203</v>
      </c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</row>
    <row r="10" spans="1:59" s="543" customFormat="1" ht="11.25">
      <c r="A10" s="539" t="s">
        <v>19</v>
      </c>
      <c r="B10" s="140"/>
      <c r="C10" s="540"/>
      <c r="D10" s="540">
        <v>63153</v>
      </c>
      <c r="E10" s="540">
        <v>54922</v>
      </c>
      <c r="F10" s="540">
        <v>47405</v>
      </c>
      <c r="G10" s="540">
        <v>48258</v>
      </c>
      <c r="H10" s="1065"/>
      <c r="I10" s="1071"/>
      <c r="J10" s="1071">
        <v>79801</v>
      </c>
      <c r="K10" s="1071">
        <v>92623</v>
      </c>
      <c r="L10" s="1071">
        <v>79758</v>
      </c>
      <c r="M10" s="1071">
        <v>75709</v>
      </c>
      <c r="N10" s="380"/>
      <c r="O10" s="246"/>
      <c r="P10" s="246">
        <v>16152</v>
      </c>
      <c r="Q10" s="246">
        <v>15795</v>
      </c>
      <c r="R10" s="246">
        <v>8099</v>
      </c>
      <c r="S10" s="246">
        <v>8844</v>
      </c>
      <c r="T10" s="132"/>
      <c r="U10" s="542"/>
      <c r="V10" s="542">
        <f t="shared" si="7"/>
        <v>159106</v>
      </c>
      <c r="W10" s="542">
        <f t="shared" si="8"/>
        <v>163340</v>
      </c>
      <c r="X10" s="542">
        <f t="shared" si="9"/>
        <v>135262</v>
      </c>
      <c r="Y10" s="616">
        <f t="shared" si="10"/>
        <v>132811</v>
      </c>
      <c r="Z10" s="119"/>
      <c r="AA10" s="541"/>
      <c r="AB10" s="541">
        <v>64857</v>
      </c>
      <c r="AC10" s="541">
        <v>46927</v>
      </c>
      <c r="AD10" s="541">
        <v>52575</v>
      </c>
      <c r="AE10" s="1002">
        <v>47399</v>
      </c>
      <c r="AF10" s="120">
        <f t="shared" si="5"/>
        <v>0.02836182762331278</v>
      </c>
      <c r="AG10" s="121">
        <v>230315</v>
      </c>
      <c r="AH10" s="121">
        <f t="shared" si="11"/>
        <v>223963</v>
      </c>
      <c r="AI10" s="121">
        <f t="shared" si="12"/>
        <v>210267</v>
      </c>
      <c r="AJ10" s="121">
        <f t="shared" si="13"/>
        <v>187837</v>
      </c>
      <c r="AK10" s="122">
        <f t="shared" si="14"/>
        <v>180210</v>
      </c>
      <c r="AL10" s="1331"/>
      <c r="AM10" s="527"/>
      <c r="AN10" s="527">
        <v>2350686</v>
      </c>
      <c r="AO10" s="527">
        <v>2360035</v>
      </c>
      <c r="AP10" s="529">
        <v>1987860</v>
      </c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</row>
    <row r="11" spans="1:59" s="543" customFormat="1" ht="11.25">
      <c r="A11" s="539" t="s">
        <v>20</v>
      </c>
      <c r="B11" s="140"/>
      <c r="C11" s="540"/>
      <c r="D11" s="540">
        <v>64928</v>
      </c>
      <c r="E11" s="540">
        <v>61819</v>
      </c>
      <c r="F11" s="540">
        <v>53420</v>
      </c>
      <c r="G11" s="540">
        <v>40061</v>
      </c>
      <c r="H11" s="1065"/>
      <c r="I11" s="1071"/>
      <c r="J11" s="1071">
        <v>84233</v>
      </c>
      <c r="K11" s="1071">
        <v>70115</v>
      </c>
      <c r="L11" s="1071">
        <v>86764</v>
      </c>
      <c r="M11" s="1071">
        <v>70071</v>
      </c>
      <c r="N11" s="380"/>
      <c r="O11" s="246"/>
      <c r="P11" s="246">
        <v>18398</v>
      </c>
      <c r="Q11" s="246">
        <v>14591</v>
      </c>
      <c r="R11" s="246">
        <v>11484</v>
      </c>
      <c r="S11" s="246">
        <v>6471</v>
      </c>
      <c r="T11" s="132"/>
      <c r="U11" s="542"/>
      <c r="V11" s="542">
        <f t="shared" si="7"/>
        <v>167559</v>
      </c>
      <c r="W11" s="542">
        <f t="shared" si="8"/>
        <v>146525</v>
      </c>
      <c r="X11" s="542">
        <f t="shared" si="9"/>
        <v>151668</v>
      </c>
      <c r="Y11" s="616">
        <f t="shared" si="10"/>
        <v>116603</v>
      </c>
      <c r="Z11" s="119"/>
      <c r="AA11" s="541"/>
      <c r="AB11" s="541">
        <v>61261</v>
      </c>
      <c r="AC11" s="541">
        <v>50014</v>
      </c>
      <c r="AD11" s="541">
        <v>55072</v>
      </c>
      <c r="AE11" s="1002">
        <v>38809</v>
      </c>
      <c r="AF11" s="120"/>
      <c r="AG11" s="121"/>
      <c r="AH11" s="121">
        <f t="shared" si="11"/>
        <v>228820</v>
      </c>
      <c r="AI11" s="121">
        <f t="shared" si="12"/>
        <v>196539</v>
      </c>
      <c r="AJ11" s="121">
        <f t="shared" si="13"/>
        <v>206740</v>
      </c>
      <c r="AK11" s="122">
        <f t="shared" si="14"/>
        <v>155412</v>
      </c>
      <c r="AL11" s="1331"/>
      <c r="AM11" s="527"/>
      <c r="AN11" s="527">
        <v>2425357</v>
      </c>
      <c r="AO11" s="527">
        <v>2075558</v>
      </c>
      <c r="AP11" s="529">
        <v>2172930</v>
      </c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</row>
    <row r="12" spans="1:59" s="543" customFormat="1" ht="11.25">
      <c r="A12" s="539" t="s">
        <v>21</v>
      </c>
      <c r="B12" s="140"/>
      <c r="C12" s="540"/>
      <c r="D12" s="540">
        <v>62378</v>
      </c>
      <c r="E12" s="540">
        <v>53906</v>
      </c>
      <c r="F12" s="540">
        <v>52388</v>
      </c>
      <c r="G12" s="540">
        <v>43512</v>
      </c>
      <c r="H12" s="1065"/>
      <c r="I12" s="1071"/>
      <c r="J12" s="1071">
        <v>85405</v>
      </c>
      <c r="K12" s="1071">
        <v>79871</v>
      </c>
      <c r="L12" s="1071">
        <v>88486</v>
      </c>
      <c r="M12" s="1071">
        <v>75686</v>
      </c>
      <c r="N12" s="380"/>
      <c r="O12" s="246"/>
      <c r="P12" s="246">
        <v>16787</v>
      </c>
      <c r="Q12" s="246">
        <v>15995</v>
      </c>
      <c r="R12" s="246">
        <v>10847</v>
      </c>
      <c r="S12" s="246">
        <v>7151</v>
      </c>
      <c r="T12" s="132"/>
      <c r="U12" s="542"/>
      <c r="V12" s="542">
        <f t="shared" si="7"/>
        <v>164570</v>
      </c>
      <c r="W12" s="542">
        <f t="shared" si="8"/>
        <v>149772</v>
      </c>
      <c r="X12" s="542">
        <f t="shared" si="9"/>
        <v>151721</v>
      </c>
      <c r="Y12" s="616">
        <f t="shared" si="10"/>
        <v>126349</v>
      </c>
      <c r="Z12" s="119"/>
      <c r="AA12" s="541"/>
      <c r="AB12" s="541">
        <v>60239</v>
      </c>
      <c r="AC12" s="541">
        <v>56451</v>
      </c>
      <c r="AD12" s="541">
        <v>65145</v>
      </c>
      <c r="AE12" s="1002">
        <v>47344</v>
      </c>
      <c r="AF12" s="120"/>
      <c r="AG12" s="121"/>
      <c r="AH12" s="121">
        <f t="shared" si="11"/>
        <v>224809</v>
      </c>
      <c r="AI12" s="121">
        <f t="shared" si="12"/>
        <v>206223</v>
      </c>
      <c r="AJ12" s="121">
        <f t="shared" si="13"/>
        <v>216866</v>
      </c>
      <c r="AK12" s="122">
        <f t="shared" si="14"/>
        <v>173693</v>
      </c>
      <c r="AL12" s="1331"/>
      <c r="AM12" s="527"/>
      <c r="AN12" s="527">
        <v>2405245</v>
      </c>
      <c r="AO12" s="527">
        <v>2178026</v>
      </c>
      <c r="AP12" s="529">
        <v>2184999</v>
      </c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</row>
    <row r="13" spans="1:59" s="543" customFormat="1" ht="11.25">
      <c r="A13" s="539" t="s">
        <v>22</v>
      </c>
      <c r="B13" s="140"/>
      <c r="C13" s="540"/>
      <c r="D13" s="540">
        <v>72435</v>
      </c>
      <c r="E13" s="540">
        <v>60169</v>
      </c>
      <c r="F13" s="540">
        <v>59496</v>
      </c>
      <c r="G13" s="540">
        <v>48806</v>
      </c>
      <c r="H13" s="1065"/>
      <c r="I13" s="1071"/>
      <c r="J13" s="1071">
        <v>88979</v>
      </c>
      <c r="K13" s="1071">
        <v>88468</v>
      </c>
      <c r="L13" s="1071">
        <v>81178</v>
      </c>
      <c r="M13" s="1071">
        <v>81220</v>
      </c>
      <c r="N13" s="380"/>
      <c r="O13" s="246"/>
      <c r="P13" s="246">
        <v>16403</v>
      </c>
      <c r="Q13" s="246">
        <v>17689</v>
      </c>
      <c r="R13" s="246">
        <v>12352</v>
      </c>
      <c r="S13" s="246">
        <v>7276</v>
      </c>
      <c r="T13" s="132"/>
      <c r="U13" s="542"/>
      <c r="V13" s="542">
        <f t="shared" si="7"/>
        <v>177817</v>
      </c>
      <c r="W13" s="542">
        <f t="shared" si="8"/>
        <v>166326</v>
      </c>
      <c r="X13" s="542">
        <f t="shared" si="9"/>
        <v>153026</v>
      </c>
      <c r="Y13" s="616">
        <f t="shared" si="10"/>
        <v>137302</v>
      </c>
      <c r="Z13" s="119"/>
      <c r="AA13" s="541"/>
      <c r="AB13" s="541">
        <v>53347</v>
      </c>
      <c r="AC13" s="541">
        <v>62913</v>
      </c>
      <c r="AD13" s="541">
        <v>59674</v>
      </c>
      <c r="AE13" s="1002">
        <v>49439</v>
      </c>
      <c r="AF13" s="120"/>
      <c r="AG13" s="121"/>
      <c r="AH13" s="121">
        <f t="shared" si="11"/>
        <v>231164</v>
      </c>
      <c r="AI13" s="121">
        <f t="shared" si="12"/>
        <v>229239</v>
      </c>
      <c r="AJ13" s="121">
        <f t="shared" si="13"/>
        <v>212700</v>
      </c>
      <c r="AK13" s="122">
        <f t="shared" si="14"/>
        <v>186741</v>
      </c>
      <c r="AL13" s="1331"/>
      <c r="AM13" s="527"/>
      <c r="AN13" s="527">
        <v>2554258</v>
      </c>
      <c r="AO13" s="527">
        <v>2446665</v>
      </c>
      <c r="AP13" s="529">
        <v>2202304</v>
      </c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</row>
    <row r="14" spans="1:59" s="543" customFormat="1" ht="11.25">
      <c r="A14" s="539" t="s">
        <v>23</v>
      </c>
      <c r="B14" s="140"/>
      <c r="C14" s="540"/>
      <c r="D14" s="540">
        <v>67595</v>
      </c>
      <c r="E14" s="540">
        <v>68275</v>
      </c>
      <c r="F14" s="540">
        <v>46491</v>
      </c>
      <c r="G14" s="540">
        <v>39272</v>
      </c>
      <c r="H14" s="1065"/>
      <c r="I14" s="1071"/>
      <c r="J14" s="1071">
        <v>80116</v>
      </c>
      <c r="K14" s="1071">
        <v>95032</v>
      </c>
      <c r="L14" s="1071">
        <v>59880</v>
      </c>
      <c r="M14" s="1071">
        <v>71339</v>
      </c>
      <c r="N14" s="380"/>
      <c r="O14" s="246"/>
      <c r="P14" s="246">
        <v>12454</v>
      </c>
      <c r="Q14" s="246">
        <v>24942</v>
      </c>
      <c r="R14" s="246">
        <v>9361</v>
      </c>
      <c r="S14" s="246">
        <v>8470</v>
      </c>
      <c r="T14" s="132"/>
      <c r="U14" s="542"/>
      <c r="V14" s="542">
        <f t="shared" si="7"/>
        <v>160165</v>
      </c>
      <c r="W14" s="542">
        <f t="shared" si="8"/>
        <v>188249</v>
      </c>
      <c r="X14" s="542">
        <f t="shared" si="9"/>
        <v>115732</v>
      </c>
      <c r="Y14" s="616">
        <f t="shared" si="10"/>
        <v>119081</v>
      </c>
      <c r="Z14" s="119"/>
      <c r="AA14" s="541"/>
      <c r="AB14" s="541">
        <v>54535</v>
      </c>
      <c r="AC14" s="541">
        <v>63765</v>
      </c>
      <c r="AD14" s="541">
        <v>43373</v>
      </c>
      <c r="AE14" s="1002">
        <v>41661</v>
      </c>
      <c r="AF14" s="120"/>
      <c r="AG14" s="121"/>
      <c r="AH14" s="121">
        <f t="shared" si="11"/>
        <v>214700</v>
      </c>
      <c r="AI14" s="121">
        <f t="shared" si="12"/>
        <v>252014</v>
      </c>
      <c r="AJ14" s="121">
        <f t="shared" si="13"/>
        <v>159105</v>
      </c>
      <c r="AK14" s="122">
        <f t="shared" si="14"/>
        <v>160742</v>
      </c>
      <c r="AL14" s="1331"/>
      <c r="AM14" s="527"/>
      <c r="AN14" s="527">
        <v>2372350</v>
      </c>
      <c r="AO14" s="527">
        <v>2791801</v>
      </c>
      <c r="AP14" s="529">
        <v>1638033</v>
      </c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</row>
    <row r="15" spans="1:59" s="543" customFormat="1" ht="12" thickBot="1">
      <c r="A15" s="539" t="s">
        <v>24</v>
      </c>
      <c r="B15" s="1208"/>
      <c r="C15" s="1209"/>
      <c r="D15" s="1209">
        <v>61772</v>
      </c>
      <c r="E15" s="1209">
        <v>55517</v>
      </c>
      <c r="F15" s="1209">
        <v>51946</v>
      </c>
      <c r="G15" s="1209">
        <v>37875</v>
      </c>
      <c r="H15" s="1066"/>
      <c r="I15" s="1211"/>
      <c r="J15" s="1211">
        <v>74651</v>
      </c>
      <c r="K15" s="1211">
        <v>84171</v>
      </c>
      <c r="L15" s="1211">
        <v>89296</v>
      </c>
      <c r="M15" s="1211">
        <v>62840</v>
      </c>
      <c r="N15" s="990"/>
      <c r="O15" s="520"/>
      <c r="P15" s="520">
        <v>14193</v>
      </c>
      <c r="Q15" s="520">
        <v>18132</v>
      </c>
      <c r="R15" s="520">
        <v>11228</v>
      </c>
      <c r="S15" s="520">
        <v>9078</v>
      </c>
      <c r="T15" s="457"/>
      <c r="U15" s="1333"/>
      <c r="V15" s="1333">
        <f t="shared" si="7"/>
        <v>150616</v>
      </c>
      <c r="W15" s="1333">
        <f t="shared" si="8"/>
        <v>157820</v>
      </c>
      <c r="X15" s="1333">
        <f t="shared" si="9"/>
        <v>152470</v>
      </c>
      <c r="Y15" s="1334">
        <f t="shared" si="10"/>
        <v>109793</v>
      </c>
      <c r="Z15" s="401"/>
      <c r="AA15" s="545"/>
      <c r="AB15" s="545">
        <v>41737</v>
      </c>
      <c r="AC15" s="545">
        <v>49977</v>
      </c>
      <c r="AD15" s="545">
        <v>57421</v>
      </c>
      <c r="AE15" s="1003">
        <v>31785</v>
      </c>
      <c r="AF15" s="521"/>
      <c r="AG15" s="124"/>
      <c r="AH15" s="124">
        <f t="shared" si="11"/>
        <v>192353</v>
      </c>
      <c r="AI15" s="124">
        <f t="shared" si="12"/>
        <v>207797</v>
      </c>
      <c r="AJ15" s="124">
        <f t="shared" si="13"/>
        <v>209891</v>
      </c>
      <c r="AK15" s="125">
        <f t="shared" si="14"/>
        <v>141578</v>
      </c>
      <c r="AL15" s="1332"/>
      <c r="AM15" s="1681"/>
      <c r="AN15" s="1681">
        <v>2169432</v>
      </c>
      <c r="AO15" s="1681">
        <v>2333682</v>
      </c>
      <c r="AP15" s="1682">
        <v>2207176</v>
      </c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</row>
    <row r="16" spans="1:59" s="547" customFormat="1" ht="11.25">
      <c r="A16" s="546" t="s">
        <v>25</v>
      </c>
      <c r="B16" s="396">
        <f>SUM(C16-D16)/D16</f>
        <v>0.2335259404966806</v>
      </c>
      <c r="C16" s="399">
        <f>SUM(C4:C9)</f>
        <v>421407</v>
      </c>
      <c r="D16" s="399">
        <f>SUM(D4:D9)</f>
        <v>341628</v>
      </c>
      <c r="E16" s="399">
        <f>SUM(E4:E9)</f>
        <v>316433</v>
      </c>
      <c r="F16" s="399">
        <f>SUM(F4:F9)</f>
        <v>279290</v>
      </c>
      <c r="G16" s="399">
        <f>SUM(G4:G9)</f>
        <v>236369</v>
      </c>
      <c r="H16" s="396">
        <f>SUM(I16-J16)/J16</f>
        <v>-0.01595316470253814</v>
      </c>
      <c r="I16" s="399">
        <f>SUM(I4:I9)</f>
        <v>453497</v>
      </c>
      <c r="J16" s="399">
        <f>SUM(J4:J9)</f>
        <v>460849</v>
      </c>
      <c r="K16" s="399">
        <f>SUM(K4:K9)</f>
        <v>466441</v>
      </c>
      <c r="L16" s="399">
        <f>SUM(L4:L9)</f>
        <v>439521</v>
      </c>
      <c r="M16" s="399">
        <f>SUM(M4:M9)</f>
        <v>363482</v>
      </c>
      <c r="N16" s="396">
        <f>SUM(O16-P16)/P16</f>
        <v>-0.10508089218235214</v>
      </c>
      <c r="O16" s="399">
        <f>SUM(O4:O9)</f>
        <v>85020</v>
      </c>
      <c r="P16" s="399">
        <f>SUM(P4:P9)</f>
        <v>95003</v>
      </c>
      <c r="Q16" s="399">
        <f>SUM(Q4:Q9)</f>
        <v>81138</v>
      </c>
      <c r="R16" s="399">
        <f>SUM(R4:R9)</f>
        <v>50003</v>
      </c>
      <c r="S16" s="399">
        <f>SUM(S4:S9)</f>
        <v>45196</v>
      </c>
      <c r="T16" s="396">
        <f>SUM(U16-V16)/V16</f>
        <v>0.0695770379284218</v>
      </c>
      <c r="U16" s="810">
        <f>+C16+I16+O16</f>
        <v>959924</v>
      </c>
      <c r="V16" s="810">
        <f>+D16+J16+P16</f>
        <v>897480</v>
      </c>
      <c r="W16" s="810">
        <f>+E16+K16+Q16</f>
        <v>864012</v>
      </c>
      <c r="X16" s="810">
        <f>+F16+L16+R16</f>
        <v>768814</v>
      </c>
      <c r="Y16" s="1335">
        <f>+G16+M16+S16</f>
        <v>645047</v>
      </c>
      <c r="Z16" s="1019">
        <f>SUM(AA16-AB16)/AB16</f>
        <v>-0.08211231778630898</v>
      </c>
      <c r="AA16" s="399">
        <f>SUM(AA4:AA9)</f>
        <v>293367</v>
      </c>
      <c r="AB16" s="399">
        <f>SUM(AB4:AB9)</f>
        <v>319611</v>
      </c>
      <c r="AC16" s="399">
        <f>SUM(AC4:AC9)</f>
        <v>279860</v>
      </c>
      <c r="AD16" s="399">
        <f>SUM(AD4:AD9)</f>
        <v>305968</v>
      </c>
      <c r="AE16" s="399">
        <f>SUM(AE4:AE9)</f>
        <v>239174</v>
      </c>
      <c r="AF16" s="588">
        <f>SUM(AG16-AH16)/AH16</f>
        <v>0.02974305125910881</v>
      </c>
      <c r="AG16" s="332">
        <f>U16+AA16</f>
        <v>1253291</v>
      </c>
      <c r="AH16" s="332">
        <f>V16+AB16</f>
        <v>1217091</v>
      </c>
      <c r="AI16" s="332">
        <f>W16+AC16</f>
        <v>1143872</v>
      </c>
      <c r="AJ16" s="332">
        <f>X16+AD16</f>
        <v>1074782</v>
      </c>
      <c r="AK16" s="800">
        <f>Y16+AE16</f>
        <v>884221</v>
      </c>
      <c r="AL16" s="396">
        <f>SUM(AM16-AN16)/AN16</f>
        <v>0.06411601311003615</v>
      </c>
      <c r="AM16" s="399">
        <f>SUM(AM4:AM9)</f>
        <v>13949865</v>
      </c>
      <c r="AN16" s="399">
        <f>SUM(AN4:AN9)</f>
        <v>13109346</v>
      </c>
      <c r="AO16" s="399">
        <f>SUM(AO4:AO9)</f>
        <v>12386626</v>
      </c>
      <c r="AP16" s="400">
        <f>SUM(AP4:AP9)</f>
        <v>11290237</v>
      </c>
      <c r="AQ16" s="534"/>
      <c r="AR16" s="534"/>
      <c r="AS16" s="534"/>
      <c r="AT16" s="534"/>
      <c r="AU16" s="534"/>
      <c r="AV16" s="534"/>
      <c r="AW16" s="534"/>
      <c r="AX16" s="534"/>
      <c r="AY16" s="534"/>
      <c r="AZ16" s="534"/>
      <c r="BA16" s="534"/>
      <c r="BB16" s="534"/>
      <c r="BC16" s="534"/>
      <c r="BD16" s="534"/>
      <c r="BE16" s="534"/>
      <c r="BF16" s="534"/>
      <c r="BG16" s="534"/>
    </row>
    <row r="17" spans="1:59" s="547" customFormat="1" ht="12" thickBot="1">
      <c r="A17" s="548" t="s">
        <v>26</v>
      </c>
      <c r="B17" s="313">
        <f>SUM(C17-D17)/D17</f>
        <v>0.148421627793849</v>
      </c>
      <c r="C17" s="102">
        <f>AVERAGE(C4:C15)</f>
        <v>70234.5</v>
      </c>
      <c r="D17" s="102">
        <f>AVERAGE(D4:D15)</f>
        <v>61157.416666666664</v>
      </c>
      <c r="E17" s="102">
        <f>AVERAGE(E4:E15)</f>
        <v>55920.083333333336</v>
      </c>
      <c r="F17" s="102">
        <f>AVERAGE(F4:F15)</f>
        <v>49203</v>
      </c>
      <c r="G17" s="312">
        <f>AVERAGE(G4:G15)</f>
        <v>41179.416666666664</v>
      </c>
      <c r="H17" s="313">
        <f>SUM(I17-J17)/J17</f>
        <v>-0.049306418848804136</v>
      </c>
      <c r="I17" s="102">
        <f>AVERAGE(I4:I15)</f>
        <v>75582.83333333333</v>
      </c>
      <c r="J17" s="102">
        <f>AVERAGE(J4:J15)</f>
        <v>79502.83333333333</v>
      </c>
      <c r="K17" s="102">
        <f>AVERAGE(K4:K15)</f>
        <v>81393.41666666667</v>
      </c>
      <c r="L17" s="102">
        <f>AVERAGE(L4:L15)</f>
        <v>77073.58333333333</v>
      </c>
      <c r="M17" s="102">
        <f>AVERAGE(M4:M15)</f>
        <v>66695.58333333333</v>
      </c>
      <c r="N17" s="313">
        <f>SUM(O17-P17)/P17</f>
        <v>-0.10217012513860288</v>
      </c>
      <c r="O17" s="102">
        <f>AVERAGE(O4:O15)</f>
        <v>14170</v>
      </c>
      <c r="P17" s="102">
        <f>AVERAGE(P4:P15)</f>
        <v>15782.5</v>
      </c>
      <c r="Q17" s="102">
        <f>AVERAGE(Q4:Q15)</f>
        <v>15690.166666666666</v>
      </c>
      <c r="R17" s="102">
        <f>AVERAGE(R4:R15)</f>
        <v>9447.833333333334</v>
      </c>
      <c r="S17" s="356">
        <f>AVERAGE(S4:S15)</f>
        <v>7707.166666666667</v>
      </c>
      <c r="T17" s="313">
        <f>SUM(U17-V17)/V17</f>
        <v>0.022657383185435843</v>
      </c>
      <c r="U17" s="102">
        <f>AVERAGE(U4:U15)</f>
        <v>159987.33333333334</v>
      </c>
      <c r="V17" s="102">
        <f>AVERAGE(V4:V15)</f>
        <v>156442.75</v>
      </c>
      <c r="W17" s="102">
        <f>AVERAGE(W4:W15)</f>
        <v>153003.66666666666</v>
      </c>
      <c r="X17" s="102">
        <f>AVERAGE(X4:X15)</f>
        <v>135724.41666666666</v>
      </c>
      <c r="Y17" s="312">
        <f>AVERAGE(Y4:Y15)</f>
        <v>115582.16666666667</v>
      </c>
      <c r="Z17" s="879">
        <f>SUM(AA17-AB17)/AB17</f>
        <v>-0.10502496236197484</v>
      </c>
      <c r="AA17" s="384">
        <f>AVERAGE(AA4:AA15)</f>
        <v>48894.5</v>
      </c>
      <c r="AB17" s="384">
        <f>AVERAGE(AB4:AB15)</f>
        <v>54632.25</v>
      </c>
      <c r="AC17" s="384">
        <f>AVERAGE(AC4:AC15)</f>
        <v>50825.583333333336</v>
      </c>
      <c r="AD17" s="102">
        <f>AVERAGE(AD4:AD15)</f>
        <v>53269</v>
      </c>
      <c r="AE17" s="102">
        <f>AVERAGE(AE4:AE15)</f>
        <v>41300.916666666664</v>
      </c>
      <c r="AF17" s="313">
        <f>SUM(AG17-AH17)/AH17</f>
        <v>0.004115666401583749</v>
      </c>
      <c r="AG17" s="102">
        <f>AVERAGE(AG4:AG15)</f>
        <v>211943.7142857143</v>
      </c>
      <c r="AH17" s="102">
        <f>AVERAGE(AH4:AH15)</f>
        <v>211075</v>
      </c>
      <c r="AI17" s="102">
        <f>AVERAGE(AI4:AI15)</f>
        <v>203829.25</v>
      </c>
      <c r="AJ17" s="102">
        <f>AVERAGE(AJ4:AJ15)</f>
        <v>188993.41666666666</v>
      </c>
      <c r="AK17" s="356">
        <f>AVERAGE(AK4:AK15)</f>
        <v>156883.08333333334</v>
      </c>
      <c r="AL17" s="313">
        <f>SUM(AM17-AN17)/AN17</f>
        <v>0.018733782714907186</v>
      </c>
      <c r="AM17" s="102">
        <f>AVERAGE(AM4:AM15)</f>
        <v>2324977.5</v>
      </c>
      <c r="AN17" s="102">
        <f>AVERAGE(AN4:AN15)</f>
        <v>2282222.8333333335</v>
      </c>
      <c r="AO17" s="102">
        <f>AVERAGE(AO4:AO15)</f>
        <v>2214366.0833333335</v>
      </c>
      <c r="AP17" s="312">
        <f>AVERAGE(AP4:AP15)</f>
        <v>1973628.25</v>
      </c>
      <c r="AQ17" s="534"/>
      <c r="AR17" s="534"/>
      <c r="AS17" s="534"/>
      <c r="AT17" s="534"/>
      <c r="AU17" s="534"/>
      <c r="AV17" s="534"/>
      <c r="AW17" s="534"/>
      <c r="AX17" s="534"/>
      <c r="AY17" s="534"/>
      <c r="AZ17" s="534"/>
      <c r="BA17" s="534"/>
      <c r="BB17" s="534"/>
      <c r="BC17" s="534"/>
      <c r="BD17" s="534"/>
      <c r="BE17" s="534"/>
      <c r="BF17" s="534"/>
      <c r="BG17" s="534"/>
    </row>
  </sheetData>
  <mergeCells count="14">
    <mergeCell ref="AL1:AP1"/>
    <mergeCell ref="Z1:AE1"/>
    <mergeCell ref="AF1:AK1"/>
    <mergeCell ref="Z3:AE3"/>
    <mergeCell ref="AF3:AK3"/>
    <mergeCell ref="AL3:AP3"/>
    <mergeCell ref="A1:A2"/>
    <mergeCell ref="B3:G3"/>
    <mergeCell ref="H3:M3"/>
    <mergeCell ref="N3:S3"/>
    <mergeCell ref="T3:Y3"/>
    <mergeCell ref="T1:Y1"/>
    <mergeCell ref="N1:S1"/>
    <mergeCell ref="B1:M1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T3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4.421875" style="0" customWidth="1"/>
    <col min="2" max="2" width="10.00390625" style="0" customWidth="1"/>
    <col min="3" max="9" width="6.57421875" style="0" customWidth="1"/>
    <col min="10" max="10" width="10.00390625" style="0" customWidth="1"/>
    <col min="11" max="17" width="6.57421875" style="0" customWidth="1"/>
    <col min="18" max="18" width="9.57421875" style="0" customWidth="1"/>
    <col min="19" max="19" width="7.8515625" style="0" customWidth="1"/>
    <col min="20" max="25" width="6.57421875" style="0" customWidth="1"/>
    <col min="26" max="26" width="9.57421875" style="0" customWidth="1"/>
    <col min="27" max="29" width="6.57421875" style="275" customWidth="1"/>
    <col min="30" max="33" width="6.57421875" style="0" customWidth="1"/>
    <col min="34" max="34" width="9.57421875" style="0" customWidth="1"/>
    <col min="35" max="37" width="7.8515625" style="0" customWidth="1"/>
    <col min="38" max="41" width="6.57421875" style="0" customWidth="1"/>
  </cols>
  <sheetData>
    <row r="1" spans="1:41" s="319" customFormat="1" ht="13.5" customHeight="1" thickBot="1">
      <c r="A1" s="1866" t="s">
        <v>99</v>
      </c>
      <c r="B1" s="1867"/>
      <c r="C1" s="1868"/>
      <c r="D1" s="1868"/>
      <c r="E1" s="1868"/>
      <c r="F1" s="1868"/>
      <c r="G1" s="1868"/>
      <c r="H1" s="1868"/>
      <c r="I1" s="1868"/>
      <c r="J1" s="1868"/>
      <c r="K1" s="1868"/>
      <c r="L1" s="1868"/>
      <c r="M1" s="1868"/>
      <c r="N1" s="1868"/>
      <c r="O1" s="1868"/>
      <c r="P1" s="1868"/>
      <c r="Q1" s="1868"/>
      <c r="R1" s="1868"/>
      <c r="S1" s="1868"/>
      <c r="T1" s="1868"/>
      <c r="U1" s="1868"/>
      <c r="V1" s="1868"/>
      <c r="W1" s="1868"/>
      <c r="X1" s="1868"/>
      <c r="Y1" s="1868"/>
      <c r="Z1" s="1868"/>
      <c r="AA1" s="1868"/>
      <c r="AB1" s="1868"/>
      <c r="AC1" s="1868"/>
      <c r="AD1" s="1868"/>
      <c r="AE1" s="1868"/>
      <c r="AF1" s="1868"/>
      <c r="AG1" s="1868"/>
      <c r="AH1" s="1868"/>
      <c r="AI1" s="1868"/>
      <c r="AJ1" s="1868"/>
      <c r="AK1" s="1868"/>
      <c r="AL1" s="1868"/>
      <c r="AM1" s="1868"/>
      <c r="AN1" s="1868"/>
      <c r="AO1" s="1944"/>
    </row>
    <row r="2" spans="1:41" s="319" customFormat="1" ht="12.75" thickBot="1" thickTop="1">
      <c r="A2" s="1902"/>
      <c r="B2" s="202" t="s">
        <v>179</v>
      </c>
      <c r="C2" s="203">
        <v>2008</v>
      </c>
      <c r="D2" s="203">
        <v>2007</v>
      </c>
      <c r="E2" s="203">
        <v>2006</v>
      </c>
      <c r="F2" s="203">
        <v>2005</v>
      </c>
      <c r="G2" s="203">
        <v>2004</v>
      </c>
      <c r="H2" s="203">
        <v>2003</v>
      </c>
      <c r="I2" s="204">
        <v>2002</v>
      </c>
      <c r="J2" s="1000" t="s">
        <v>179</v>
      </c>
      <c r="K2" s="112">
        <v>2008</v>
      </c>
      <c r="L2" s="112">
        <v>2007</v>
      </c>
      <c r="M2" s="112">
        <v>2006</v>
      </c>
      <c r="N2" s="112">
        <v>2005</v>
      </c>
      <c r="O2" s="112">
        <v>2004</v>
      </c>
      <c r="P2" s="112">
        <v>2003</v>
      </c>
      <c r="Q2" s="113">
        <v>2002</v>
      </c>
      <c r="R2" s="176" t="s">
        <v>185</v>
      </c>
      <c r="S2" s="177">
        <v>2008</v>
      </c>
      <c r="T2" s="177">
        <v>2007</v>
      </c>
      <c r="U2" s="177">
        <v>2006</v>
      </c>
      <c r="V2" s="177">
        <v>2005</v>
      </c>
      <c r="W2" s="177">
        <v>2004</v>
      </c>
      <c r="X2" s="177">
        <v>2003</v>
      </c>
      <c r="Y2" s="178">
        <v>2002</v>
      </c>
      <c r="Z2" s="129" t="s">
        <v>185</v>
      </c>
      <c r="AA2" s="130">
        <v>2008</v>
      </c>
      <c r="AB2" s="130">
        <v>2007</v>
      </c>
      <c r="AC2" s="130">
        <v>2006</v>
      </c>
      <c r="AD2" s="130">
        <v>2005</v>
      </c>
      <c r="AE2" s="130">
        <v>2004</v>
      </c>
      <c r="AF2" s="130">
        <v>2003</v>
      </c>
      <c r="AG2" s="131">
        <v>2002</v>
      </c>
      <c r="AH2" s="129" t="s">
        <v>185</v>
      </c>
      <c r="AI2" s="130">
        <v>2008</v>
      </c>
      <c r="AJ2" s="114">
        <v>2007</v>
      </c>
      <c r="AK2" s="114">
        <v>2006</v>
      </c>
      <c r="AL2" s="114">
        <v>2005</v>
      </c>
      <c r="AM2" s="114">
        <v>2004</v>
      </c>
      <c r="AN2" s="114">
        <v>2003</v>
      </c>
      <c r="AO2" s="134">
        <v>2002</v>
      </c>
    </row>
    <row r="3" spans="1:41" s="534" customFormat="1" ht="13.5" customHeight="1" thickBot="1">
      <c r="A3" s="326"/>
      <c r="B3" s="1875" t="s">
        <v>100</v>
      </c>
      <c r="C3" s="1876"/>
      <c r="D3" s="1876"/>
      <c r="E3" s="1876"/>
      <c r="F3" s="1877"/>
      <c r="G3" s="1877"/>
      <c r="H3" s="1877"/>
      <c r="I3" s="1862"/>
      <c r="J3" s="1875" t="s">
        <v>69</v>
      </c>
      <c r="K3" s="1876"/>
      <c r="L3" s="1876"/>
      <c r="M3" s="1876"/>
      <c r="N3" s="1877"/>
      <c r="O3" s="1877"/>
      <c r="P3" s="1877"/>
      <c r="Q3" s="1878"/>
      <c r="R3" s="1876" t="s">
        <v>71</v>
      </c>
      <c r="S3" s="1876"/>
      <c r="T3" s="1876"/>
      <c r="U3" s="1876"/>
      <c r="V3" s="1877"/>
      <c r="W3" s="1877"/>
      <c r="X3" s="1877"/>
      <c r="Y3" s="1878"/>
      <c r="Z3" s="1875" t="s">
        <v>101</v>
      </c>
      <c r="AA3" s="1876"/>
      <c r="AB3" s="1876"/>
      <c r="AC3" s="1876"/>
      <c r="AD3" s="1877"/>
      <c r="AE3" s="1877"/>
      <c r="AF3" s="1877"/>
      <c r="AG3" s="1878"/>
      <c r="AH3" s="1890" t="s">
        <v>66</v>
      </c>
      <c r="AI3" s="1896"/>
      <c r="AJ3" s="1896"/>
      <c r="AK3" s="1896"/>
      <c r="AL3" s="1896"/>
      <c r="AM3" s="1896"/>
      <c r="AN3" s="1896"/>
      <c r="AO3" s="1879"/>
    </row>
    <row r="4" spans="1:41" s="319" customFormat="1" ht="11.25">
      <c r="A4" s="696" t="s">
        <v>13</v>
      </c>
      <c r="B4" s="209">
        <f aca="true" t="shared" si="0" ref="B4:B10">SUM(C4-D4)/D4</f>
        <v>0.2817655233142087</v>
      </c>
      <c r="C4" s="753">
        <v>93160</v>
      </c>
      <c r="D4" s="753">
        <v>72681</v>
      </c>
      <c r="E4" s="753">
        <v>74750</v>
      </c>
      <c r="F4" s="753">
        <v>63885</v>
      </c>
      <c r="G4" s="753">
        <v>50750</v>
      </c>
      <c r="H4" s="753">
        <v>58082</v>
      </c>
      <c r="I4" s="946">
        <v>35060</v>
      </c>
      <c r="J4" s="141">
        <f aca="true" t="shared" si="1" ref="J4:J10">SUM(K4-L4)/L4</f>
        <v>0.37833086178165753</v>
      </c>
      <c r="K4" s="794">
        <v>90158</v>
      </c>
      <c r="L4" s="794">
        <v>65411</v>
      </c>
      <c r="M4" s="794">
        <v>63628</v>
      </c>
      <c r="N4" s="537">
        <v>58236</v>
      </c>
      <c r="O4" s="537">
        <v>51896</v>
      </c>
      <c r="P4" s="537">
        <v>46884</v>
      </c>
      <c r="Q4" s="805">
        <v>34136</v>
      </c>
      <c r="R4" s="1229">
        <f aca="true" t="shared" si="2" ref="R4:R9">SUM(S4-T4)/T4</f>
        <v>0.3275063001477276</v>
      </c>
      <c r="S4" s="179">
        <f aca="true" t="shared" si="3" ref="S4:S9">+C4+K4</f>
        <v>183318</v>
      </c>
      <c r="T4" s="179">
        <f aca="true" t="shared" si="4" ref="T4:T15">+D4+L4</f>
        <v>138092</v>
      </c>
      <c r="U4" s="179">
        <f aca="true" t="shared" si="5" ref="U4:U15">+E4+M4</f>
        <v>138378</v>
      </c>
      <c r="V4" s="179">
        <f aca="true" t="shared" si="6" ref="V4:V15">+F4+N4</f>
        <v>122121</v>
      </c>
      <c r="W4" s="179">
        <f aca="true" t="shared" si="7" ref="W4:W15">+G4+O4</f>
        <v>102646</v>
      </c>
      <c r="X4" s="179">
        <f aca="true" t="shared" si="8" ref="X4:X15">+H4+P4</f>
        <v>104966</v>
      </c>
      <c r="Y4" s="722">
        <f aca="true" t="shared" si="9" ref="Y4:Y15">+I4+Q4</f>
        <v>69196</v>
      </c>
      <c r="Z4" s="143">
        <f aca="true" t="shared" si="10" ref="Z4:Z10">SUM(AA4-AB4)/AB4</f>
        <v>0.026553844590130608</v>
      </c>
      <c r="AA4" s="550">
        <v>40399</v>
      </c>
      <c r="AB4" s="550">
        <v>39354</v>
      </c>
      <c r="AC4" s="215">
        <v>39161</v>
      </c>
      <c r="AD4" s="215">
        <v>28721</v>
      </c>
      <c r="AE4" s="215">
        <v>22372</v>
      </c>
      <c r="AF4" s="215">
        <v>25367</v>
      </c>
      <c r="AG4" s="232">
        <v>16191</v>
      </c>
      <c r="AH4" s="175">
        <f aca="true" t="shared" si="11" ref="AH4:AH9">SUM(AI4-AJ4)/AJ4</f>
        <v>0.2607610202540491</v>
      </c>
      <c r="AI4" s="197">
        <f aca="true" t="shared" si="12" ref="AI4:AI9">+S4+AA4</f>
        <v>223717</v>
      </c>
      <c r="AJ4" s="197">
        <f aca="true" t="shared" si="13" ref="AJ4:AJ15">+T4+AB4</f>
        <v>177446</v>
      </c>
      <c r="AK4" s="197">
        <f aca="true" t="shared" si="14" ref="AK4:AK15">+U4+AC4</f>
        <v>177539</v>
      </c>
      <c r="AL4" s="197">
        <f aca="true" t="shared" si="15" ref="AL4:AL15">+V4+AD4</f>
        <v>150842</v>
      </c>
      <c r="AM4" s="197">
        <f aca="true" t="shared" si="16" ref="AM4:AM15">+W4+AE4</f>
        <v>125018</v>
      </c>
      <c r="AN4" s="197">
        <f aca="true" t="shared" si="17" ref="AN4:AN15">+X4+AF4</f>
        <v>130333</v>
      </c>
      <c r="AO4" s="198">
        <f aca="true" t="shared" si="18" ref="AO4:AO15">+Y4+AG4</f>
        <v>85387</v>
      </c>
    </row>
    <row r="5" spans="1:72" s="319" customFormat="1" ht="11.25">
      <c r="A5" s="539" t="s">
        <v>14</v>
      </c>
      <c r="B5" s="218">
        <f t="shared" si="0"/>
        <v>0.11625152716483407</v>
      </c>
      <c r="C5" s="352">
        <v>89539</v>
      </c>
      <c r="D5" s="352">
        <v>80214</v>
      </c>
      <c r="E5" s="737">
        <v>66085</v>
      </c>
      <c r="F5" s="737">
        <v>63287</v>
      </c>
      <c r="G5" s="737">
        <v>53589</v>
      </c>
      <c r="H5" s="737">
        <v>48500</v>
      </c>
      <c r="I5" s="828">
        <v>35462</v>
      </c>
      <c r="J5" s="119">
        <f t="shared" si="1"/>
        <v>0.2389771086822025</v>
      </c>
      <c r="K5" s="38">
        <v>90117</v>
      </c>
      <c r="L5" s="38">
        <v>72735</v>
      </c>
      <c r="M5" s="123">
        <v>59258</v>
      </c>
      <c r="N5" s="541">
        <v>56167</v>
      </c>
      <c r="O5" s="541">
        <v>56145</v>
      </c>
      <c r="P5" s="541">
        <v>44875</v>
      </c>
      <c r="Q5" s="807">
        <v>38639</v>
      </c>
      <c r="R5" s="1230">
        <f t="shared" si="2"/>
        <v>0.17461376014226965</v>
      </c>
      <c r="S5" s="180">
        <f t="shared" si="3"/>
        <v>179656</v>
      </c>
      <c r="T5" s="180">
        <f t="shared" si="4"/>
        <v>152949</v>
      </c>
      <c r="U5" s="180">
        <f t="shared" si="5"/>
        <v>125343</v>
      </c>
      <c r="V5" s="180">
        <f t="shared" si="6"/>
        <v>119454</v>
      </c>
      <c r="W5" s="180">
        <f t="shared" si="7"/>
        <v>109734</v>
      </c>
      <c r="X5" s="180">
        <f t="shared" si="8"/>
        <v>93375</v>
      </c>
      <c r="Y5" s="181">
        <f t="shared" si="9"/>
        <v>74101</v>
      </c>
      <c r="Z5" s="132">
        <f t="shared" si="10"/>
        <v>-0.03760356915232632</v>
      </c>
      <c r="AA5" s="329">
        <v>34730</v>
      </c>
      <c r="AB5" s="329">
        <v>36087</v>
      </c>
      <c r="AC5" s="222">
        <v>35450</v>
      </c>
      <c r="AD5" s="222">
        <v>25504</v>
      </c>
      <c r="AE5" s="222">
        <v>23537</v>
      </c>
      <c r="AF5" s="222">
        <v>23302</v>
      </c>
      <c r="AG5" s="233">
        <v>17283</v>
      </c>
      <c r="AH5" s="120">
        <f t="shared" si="11"/>
        <v>0.13410144099536597</v>
      </c>
      <c r="AI5" s="121">
        <f t="shared" si="12"/>
        <v>214386</v>
      </c>
      <c r="AJ5" s="121">
        <f t="shared" si="13"/>
        <v>189036</v>
      </c>
      <c r="AK5" s="121">
        <f t="shared" si="14"/>
        <v>160793</v>
      </c>
      <c r="AL5" s="121">
        <f t="shared" si="15"/>
        <v>144958</v>
      </c>
      <c r="AM5" s="121">
        <f t="shared" si="16"/>
        <v>133271</v>
      </c>
      <c r="AN5" s="121">
        <f t="shared" si="17"/>
        <v>116677</v>
      </c>
      <c r="AO5" s="122">
        <f t="shared" si="18"/>
        <v>91384</v>
      </c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  <c r="BO5" s="543"/>
      <c r="BP5" s="543"/>
      <c r="BQ5" s="543"/>
      <c r="BR5" s="543"/>
      <c r="BS5" s="543"/>
      <c r="BT5" s="543"/>
    </row>
    <row r="6" spans="1:41" s="543" customFormat="1" ht="11.25">
      <c r="A6" s="539" t="s">
        <v>15</v>
      </c>
      <c r="B6" s="218">
        <f t="shared" si="0"/>
        <v>0.05296988011493114</v>
      </c>
      <c r="C6" s="352">
        <v>85021</v>
      </c>
      <c r="D6" s="737">
        <v>80744</v>
      </c>
      <c r="E6" s="737">
        <v>59711</v>
      </c>
      <c r="F6" s="737">
        <v>60027</v>
      </c>
      <c r="G6" s="737">
        <v>53812</v>
      </c>
      <c r="H6" s="737">
        <v>45723</v>
      </c>
      <c r="I6" s="828">
        <v>34993</v>
      </c>
      <c r="J6" s="119">
        <f t="shared" si="1"/>
        <v>0.17211293624244844</v>
      </c>
      <c r="K6" s="38">
        <v>93905</v>
      </c>
      <c r="L6" s="123">
        <v>80116</v>
      </c>
      <c r="M6" s="123">
        <v>71847</v>
      </c>
      <c r="N6" s="541">
        <v>59925</v>
      </c>
      <c r="O6" s="541">
        <v>58121</v>
      </c>
      <c r="P6" s="541">
        <v>51643</v>
      </c>
      <c r="Q6" s="807">
        <v>41815</v>
      </c>
      <c r="R6" s="1230">
        <f t="shared" si="2"/>
        <v>0.11230883998508019</v>
      </c>
      <c r="S6" s="180">
        <f t="shared" si="3"/>
        <v>178926</v>
      </c>
      <c r="T6" s="180">
        <f t="shared" si="4"/>
        <v>160860</v>
      </c>
      <c r="U6" s="180">
        <f t="shared" si="5"/>
        <v>131558</v>
      </c>
      <c r="V6" s="180">
        <f t="shared" si="6"/>
        <v>119952</v>
      </c>
      <c r="W6" s="180">
        <f t="shared" si="7"/>
        <v>111933</v>
      </c>
      <c r="X6" s="180">
        <f t="shared" si="8"/>
        <v>97366</v>
      </c>
      <c r="Y6" s="181">
        <f t="shared" si="9"/>
        <v>76808</v>
      </c>
      <c r="Z6" s="132">
        <f t="shared" si="10"/>
        <v>-0.16688227684346701</v>
      </c>
      <c r="AA6" s="329">
        <v>39284</v>
      </c>
      <c r="AB6" s="222">
        <v>47153</v>
      </c>
      <c r="AC6" s="222">
        <v>40634</v>
      </c>
      <c r="AD6" s="222">
        <v>29041</v>
      </c>
      <c r="AE6" s="222">
        <v>24323</v>
      </c>
      <c r="AF6" s="222">
        <v>28612</v>
      </c>
      <c r="AG6" s="233">
        <v>20706</v>
      </c>
      <c r="AH6" s="120">
        <f t="shared" si="11"/>
        <v>0.0490209746506228</v>
      </c>
      <c r="AI6" s="121">
        <f t="shared" si="12"/>
        <v>218210</v>
      </c>
      <c r="AJ6" s="121">
        <f t="shared" si="13"/>
        <v>208013</v>
      </c>
      <c r="AK6" s="121">
        <f t="shared" si="14"/>
        <v>172192</v>
      </c>
      <c r="AL6" s="121">
        <f t="shared" si="15"/>
        <v>148993</v>
      </c>
      <c r="AM6" s="121">
        <f t="shared" si="16"/>
        <v>136256</v>
      </c>
      <c r="AN6" s="121">
        <f t="shared" si="17"/>
        <v>125978</v>
      </c>
      <c r="AO6" s="122">
        <f t="shared" si="18"/>
        <v>97514</v>
      </c>
    </row>
    <row r="7" spans="1:41" s="543" customFormat="1" ht="11.25">
      <c r="A7" s="539" t="s">
        <v>16</v>
      </c>
      <c r="B7" s="218">
        <f t="shared" si="0"/>
        <v>0.11848213520167562</v>
      </c>
      <c r="C7" s="352">
        <v>91314</v>
      </c>
      <c r="D7" s="737">
        <v>81641</v>
      </c>
      <c r="E7" s="737">
        <v>69304</v>
      </c>
      <c r="F7" s="737">
        <v>65795</v>
      </c>
      <c r="G7" s="737">
        <v>53575</v>
      </c>
      <c r="H7" s="737">
        <v>53662</v>
      </c>
      <c r="I7" s="828">
        <v>36444</v>
      </c>
      <c r="J7" s="119">
        <f t="shared" si="1"/>
        <v>0.12620045662652057</v>
      </c>
      <c r="K7" s="38">
        <v>93228</v>
      </c>
      <c r="L7" s="123">
        <v>82781</v>
      </c>
      <c r="M7" s="123">
        <v>65887</v>
      </c>
      <c r="N7" s="541">
        <v>61176</v>
      </c>
      <c r="O7" s="541">
        <v>59997</v>
      </c>
      <c r="P7" s="541">
        <v>48141</v>
      </c>
      <c r="Q7" s="807">
        <v>40010</v>
      </c>
      <c r="R7" s="1230">
        <f t="shared" si="2"/>
        <v>0.12236805293695491</v>
      </c>
      <c r="S7" s="180">
        <f t="shared" si="3"/>
        <v>184542</v>
      </c>
      <c r="T7" s="180">
        <f t="shared" si="4"/>
        <v>164422</v>
      </c>
      <c r="U7" s="180">
        <f t="shared" si="5"/>
        <v>135191</v>
      </c>
      <c r="V7" s="180">
        <f t="shared" si="6"/>
        <v>126971</v>
      </c>
      <c r="W7" s="180">
        <f t="shared" si="7"/>
        <v>113572</v>
      </c>
      <c r="X7" s="180">
        <f t="shared" si="8"/>
        <v>101803</v>
      </c>
      <c r="Y7" s="181">
        <f t="shared" si="9"/>
        <v>76454</v>
      </c>
      <c r="Z7" s="132">
        <f t="shared" si="10"/>
        <v>-0.15792999082090847</v>
      </c>
      <c r="AA7" s="329">
        <v>33943</v>
      </c>
      <c r="AB7" s="222">
        <v>40309</v>
      </c>
      <c r="AC7" s="222">
        <v>38192</v>
      </c>
      <c r="AD7" s="222">
        <v>26940</v>
      </c>
      <c r="AE7" s="222">
        <v>22838</v>
      </c>
      <c r="AF7" s="222">
        <v>27237</v>
      </c>
      <c r="AG7" s="233">
        <v>18017</v>
      </c>
      <c r="AH7" s="120">
        <f t="shared" si="11"/>
        <v>0.06718083729381481</v>
      </c>
      <c r="AI7" s="121">
        <f t="shared" si="12"/>
        <v>218485</v>
      </c>
      <c r="AJ7" s="121">
        <f t="shared" si="13"/>
        <v>204731</v>
      </c>
      <c r="AK7" s="121">
        <f t="shared" si="14"/>
        <v>173383</v>
      </c>
      <c r="AL7" s="121">
        <f t="shared" si="15"/>
        <v>153911</v>
      </c>
      <c r="AM7" s="121">
        <f t="shared" si="16"/>
        <v>136410</v>
      </c>
      <c r="AN7" s="121">
        <f t="shared" si="17"/>
        <v>129040</v>
      </c>
      <c r="AO7" s="122">
        <f t="shared" si="18"/>
        <v>94471</v>
      </c>
    </row>
    <row r="8" spans="1:41" s="543" customFormat="1" ht="11.25">
      <c r="A8" s="539" t="s">
        <v>17</v>
      </c>
      <c r="B8" s="218">
        <f t="shared" si="0"/>
        <v>-0.006427014007009213</v>
      </c>
      <c r="C8" s="1516">
        <v>87036</v>
      </c>
      <c r="D8" s="737">
        <v>87599</v>
      </c>
      <c r="E8" s="737">
        <v>68337</v>
      </c>
      <c r="F8" s="737">
        <v>62850</v>
      </c>
      <c r="G8" s="737">
        <v>52339</v>
      </c>
      <c r="H8" s="737">
        <v>46723</v>
      </c>
      <c r="I8" s="828">
        <v>39706</v>
      </c>
      <c r="J8" s="119">
        <f t="shared" si="1"/>
        <v>0.07030790129046864</v>
      </c>
      <c r="K8" s="38">
        <v>94551</v>
      </c>
      <c r="L8" s="123">
        <v>88340</v>
      </c>
      <c r="M8" s="123">
        <v>65681</v>
      </c>
      <c r="N8" s="541">
        <v>60246</v>
      </c>
      <c r="O8" s="541">
        <v>59182</v>
      </c>
      <c r="P8" s="541">
        <v>46008</v>
      </c>
      <c r="Q8" s="807">
        <v>45154</v>
      </c>
      <c r="R8" s="1230">
        <f t="shared" si="2"/>
        <v>0.032102035364529755</v>
      </c>
      <c r="S8" s="180">
        <f t="shared" si="3"/>
        <v>181587</v>
      </c>
      <c r="T8" s="180">
        <f t="shared" si="4"/>
        <v>175939</v>
      </c>
      <c r="U8" s="180">
        <f t="shared" si="5"/>
        <v>134018</v>
      </c>
      <c r="V8" s="180">
        <f t="shared" si="6"/>
        <v>123096</v>
      </c>
      <c r="W8" s="180">
        <f t="shared" si="7"/>
        <v>111521</v>
      </c>
      <c r="X8" s="180">
        <f t="shared" si="8"/>
        <v>92731</v>
      </c>
      <c r="Y8" s="181">
        <f t="shared" si="9"/>
        <v>84860</v>
      </c>
      <c r="Z8" s="132">
        <f t="shared" si="10"/>
        <v>-0.27798952412793937</v>
      </c>
      <c r="AA8" s="1517">
        <v>32393</v>
      </c>
      <c r="AB8" s="222">
        <v>44865</v>
      </c>
      <c r="AC8" s="222">
        <v>43668</v>
      </c>
      <c r="AD8" s="222">
        <v>25695</v>
      </c>
      <c r="AE8" s="222">
        <v>25756</v>
      </c>
      <c r="AF8" s="222">
        <v>29524</v>
      </c>
      <c r="AG8" s="233">
        <v>18261</v>
      </c>
      <c r="AH8" s="120">
        <f t="shared" si="11"/>
        <v>-0.030905237223963333</v>
      </c>
      <c r="AI8" s="121">
        <f t="shared" si="12"/>
        <v>213980</v>
      </c>
      <c r="AJ8" s="121">
        <f t="shared" si="13"/>
        <v>220804</v>
      </c>
      <c r="AK8" s="121">
        <f t="shared" si="14"/>
        <v>177686</v>
      </c>
      <c r="AL8" s="121">
        <f t="shared" si="15"/>
        <v>148791</v>
      </c>
      <c r="AM8" s="121">
        <f t="shared" si="16"/>
        <v>137277</v>
      </c>
      <c r="AN8" s="121">
        <f t="shared" si="17"/>
        <v>122255</v>
      </c>
      <c r="AO8" s="122">
        <f t="shared" si="18"/>
        <v>103121</v>
      </c>
    </row>
    <row r="9" spans="1:41" s="543" customFormat="1" ht="11.25">
      <c r="A9" s="539" t="s">
        <v>18</v>
      </c>
      <c r="B9" s="218">
        <f t="shared" si="0"/>
        <v>-0.028789161727349702</v>
      </c>
      <c r="C9" s="1516">
        <v>83731</v>
      </c>
      <c r="D9" s="265">
        <v>86213</v>
      </c>
      <c r="E9" s="265">
        <v>67133</v>
      </c>
      <c r="F9" s="737">
        <v>61908</v>
      </c>
      <c r="G9" s="737">
        <v>51115</v>
      </c>
      <c r="H9" s="737">
        <v>45070</v>
      </c>
      <c r="I9" s="828">
        <v>38884</v>
      </c>
      <c r="J9" s="119">
        <f t="shared" si="1"/>
        <v>0.08606784674400333</v>
      </c>
      <c r="K9" s="38">
        <v>93997</v>
      </c>
      <c r="L9" s="38">
        <v>86548</v>
      </c>
      <c r="M9" s="38">
        <v>66364</v>
      </c>
      <c r="N9" s="541">
        <v>58136</v>
      </c>
      <c r="O9" s="541">
        <v>51263</v>
      </c>
      <c r="P9" s="541">
        <v>48047</v>
      </c>
      <c r="Q9" s="807">
        <v>41997</v>
      </c>
      <c r="R9" s="1230">
        <f t="shared" si="2"/>
        <v>0.02875070183664137</v>
      </c>
      <c r="S9" s="180">
        <f t="shared" si="3"/>
        <v>177728</v>
      </c>
      <c r="T9" s="180">
        <f t="shared" si="4"/>
        <v>172761</v>
      </c>
      <c r="U9" s="180">
        <f t="shared" si="5"/>
        <v>133497</v>
      </c>
      <c r="V9" s="180">
        <f t="shared" si="6"/>
        <v>120044</v>
      </c>
      <c r="W9" s="180">
        <f t="shared" si="7"/>
        <v>102378</v>
      </c>
      <c r="X9" s="180">
        <f t="shared" si="8"/>
        <v>93117</v>
      </c>
      <c r="Y9" s="181">
        <f t="shared" si="9"/>
        <v>80881</v>
      </c>
      <c r="Z9" s="132">
        <f t="shared" si="10"/>
        <v>-0.24724899267183487</v>
      </c>
      <c r="AA9" s="1517">
        <v>31946</v>
      </c>
      <c r="AB9" s="274">
        <v>42439</v>
      </c>
      <c r="AC9" s="274">
        <v>41914</v>
      </c>
      <c r="AD9" s="222">
        <v>29189</v>
      </c>
      <c r="AE9" s="222">
        <v>28149</v>
      </c>
      <c r="AF9" s="222">
        <v>30495</v>
      </c>
      <c r="AG9" s="233">
        <v>17674</v>
      </c>
      <c r="AH9" s="120">
        <f t="shared" si="11"/>
        <v>-0.02567843866171004</v>
      </c>
      <c r="AI9" s="121">
        <f t="shared" si="12"/>
        <v>209674</v>
      </c>
      <c r="AJ9" s="121">
        <f t="shared" si="13"/>
        <v>215200</v>
      </c>
      <c r="AK9" s="121">
        <f t="shared" si="14"/>
        <v>175411</v>
      </c>
      <c r="AL9" s="121">
        <f t="shared" si="15"/>
        <v>149233</v>
      </c>
      <c r="AM9" s="121">
        <f t="shared" si="16"/>
        <v>130527</v>
      </c>
      <c r="AN9" s="121">
        <f t="shared" si="17"/>
        <v>123612</v>
      </c>
      <c r="AO9" s="122">
        <f t="shared" si="18"/>
        <v>98555</v>
      </c>
    </row>
    <row r="10" spans="1:41" s="543" customFormat="1" ht="11.25">
      <c r="A10" s="539" t="s">
        <v>19</v>
      </c>
      <c r="B10" s="218">
        <f t="shared" si="0"/>
        <v>-0.06613672496025437</v>
      </c>
      <c r="C10" s="1516">
        <v>91047</v>
      </c>
      <c r="D10" s="265">
        <v>97495</v>
      </c>
      <c r="E10" s="265">
        <v>74545</v>
      </c>
      <c r="F10" s="737">
        <v>68108</v>
      </c>
      <c r="G10" s="737">
        <v>56529</v>
      </c>
      <c r="H10" s="737">
        <v>49782</v>
      </c>
      <c r="I10" s="828">
        <v>48590</v>
      </c>
      <c r="J10" s="119">
        <f t="shared" si="1"/>
        <v>0.08666974325495537</v>
      </c>
      <c r="K10" s="38">
        <v>96543</v>
      </c>
      <c r="L10" s="38">
        <v>88843</v>
      </c>
      <c r="M10" s="38">
        <v>67033</v>
      </c>
      <c r="N10" s="541">
        <v>62566</v>
      </c>
      <c r="O10" s="541">
        <v>51200</v>
      </c>
      <c r="P10" s="541">
        <v>49491</v>
      </c>
      <c r="Q10" s="807">
        <v>42435</v>
      </c>
      <c r="R10" s="1230">
        <f>SUM(S10-T10)/T10</f>
        <v>0.006718973048975518</v>
      </c>
      <c r="S10" s="180">
        <f>+C10+K10</f>
        <v>187590</v>
      </c>
      <c r="T10" s="180">
        <f t="shared" si="4"/>
        <v>186338</v>
      </c>
      <c r="U10" s="180">
        <f t="shared" si="5"/>
        <v>141578</v>
      </c>
      <c r="V10" s="180">
        <f t="shared" si="6"/>
        <v>130674</v>
      </c>
      <c r="W10" s="180">
        <f t="shared" si="7"/>
        <v>107729</v>
      </c>
      <c r="X10" s="180">
        <f t="shared" si="8"/>
        <v>99273</v>
      </c>
      <c r="Y10" s="181">
        <f t="shared" si="9"/>
        <v>91025</v>
      </c>
      <c r="Z10" s="132">
        <f t="shared" si="10"/>
        <v>-0.2678484808396172</v>
      </c>
      <c r="AA10" s="1517">
        <v>33206</v>
      </c>
      <c r="AB10" s="274">
        <v>45354</v>
      </c>
      <c r="AC10" s="274">
        <v>40854</v>
      </c>
      <c r="AD10" s="222">
        <v>31422</v>
      </c>
      <c r="AE10" s="222">
        <v>28475</v>
      </c>
      <c r="AF10" s="222">
        <v>28168</v>
      </c>
      <c r="AG10" s="233">
        <v>18458</v>
      </c>
      <c r="AH10" s="120">
        <f>SUM(AI10-AJ10)/AJ10</f>
        <v>-0.0470279509003332</v>
      </c>
      <c r="AI10" s="121">
        <f>+S10+AA10</f>
        <v>220796</v>
      </c>
      <c r="AJ10" s="121">
        <f t="shared" si="13"/>
        <v>231692</v>
      </c>
      <c r="AK10" s="121">
        <f t="shared" si="14"/>
        <v>182432</v>
      </c>
      <c r="AL10" s="121">
        <f t="shared" si="15"/>
        <v>162096</v>
      </c>
      <c r="AM10" s="121">
        <f t="shared" si="16"/>
        <v>136204</v>
      </c>
      <c r="AN10" s="121">
        <f t="shared" si="17"/>
        <v>127441</v>
      </c>
      <c r="AO10" s="122">
        <f t="shared" si="18"/>
        <v>109483</v>
      </c>
    </row>
    <row r="11" spans="1:41" s="543" customFormat="1" ht="11.25">
      <c r="A11" s="539" t="s">
        <v>20</v>
      </c>
      <c r="B11" s="218"/>
      <c r="C11" s="265"/>
      <c r="D11" s="265">
        <v>97841</v>
      </c>
      <c r="E11" s="265">
        <v>73623</v>
      </c>
      <c r="F11" s="737">
        <v>72639</v>
      </c>
      <c r="G11" s="737">
        <v>61498</v>
      </c>
      <c r="H11" s="737">
        <v>55437</v>
      </c>
      <c r="I11" s="828">
        <v>55050</v>
      </c>
      <c r="J11" s="119"/>
      <c r="K11" s="38"/>
      <c r="L11" s="38">
        <v>88718</v>
      </c>
      <c r="M11" s="38">
        <v>61948</v>
      </c>
      <c r="N11" s="541">
        <v>59631</v>
      </c>
      <c r="O11" s="541">
        <v>55844</v>
      </c>
      <c r="P11" s="541">
        <v>44605</v>
      </c>
      <c r="Q11" s="807">
        <v>39912</v>
      </c>
      <c r="R11" s="1230"/>
      <c r="S11" s="180"/>
      <c r="T11" s="180">
        <f t="shared" si="4"/>
        <v>186559</v>
      </c>
      <c r="U11" s="180">
        <f t="shared" si="5"/>
        <v>135571</v>
      </c>
      <c r="V11" s="180">
        <f t="shared" si="6"/>
        <v>132270</v>
      </c>
      <c r="W11" s="180">
        <f t="shared" si="7"/>
        <v>117342</v>
      </c>
      <c r="X11" s="180">
        <f t="shared" si="8"/>
        <v>100042</v>
      </c>
      <c r="Y11" s="181">
        <f t="shared" si="9"/>
        <v>94962</v>
      </c>
      <c r="Z11" s="132"/>
      <c r="AA11" s="274"/>
      <c r="AB11" s="274">
        <v>49450</v>
      </c>
      <c r="AC11" s="274">
        <v>45848</v>
      </c>
      <c r="AD11" s="222">
        <v>34586</v>
      </c>
      <c r="AE11" s="222">
        <v>37020</v>
      </c>
      <c r="AF11" s="222">
        <v>33281</v>
      </c>
      <c r="AG11" s="233">
        <v>23952</v>
      </c>
      <c r="AH11" s="120"/>
      <c r="AI11" s="121"/>
      <c r="AJ11" s="121">
        <f t="shared" si="13"/>
        <v>236009</v>
      </c>
      <c r="AK11" s="121">
        <f t="shared" si="14"/>
        <v>181419</v>
      </c>
      <c r="AL11" s="121">
        <f t="shared" si="15"/>
        <v>166856</v>
      </c>
      <c r="AM11" s="121">
        <f t="shared" si="16"/>
        <v>154362</v>
      </c>
      <c r="AN11" s="121">
        <f t="shared" si="17"/>
        <v>133323</v>
      </c>
      <c r="AO11" s="122">
        <f t="shared" si="18"/>
        <v>118914</v>
      </c>
    </row>
    <row r="12" spans="1:41" s="543" customFormat="1" ht="11.25">
      <c r="A12" s="539" t="s">
        <v>21</v>
      </c>
      <c r="B12" s="218"/>
      <c r="C12" s="265"/>
      <c r="D12" s="265">
        <v>104952</v>
      </c>
      <c r="E12" s="265">
        <v>82071</v>
      </c>
      <c r="F12" s="737">
        <v>77105</v>
      </c>
      <c r="G12" s="737">
        <v>58757</v>
      </c>
      <c r="H12" s="737">
        <v>57672</v>
      </c>
      <c r="I12" s="828">
        <v>55173</v>
      </c>
      <c r="J12" s="119"/>
      <c r="K12" s="38"/>
      <c r="L12" s="38">
        <v>89900</v>
      </c>
      <c r="M12" s="38">
        <v>64599</v>
      </c>
      <c r="N12" s="541">
        <v>57127</v>
      </c>
      <c r="O12" s="541">
        <v>45143</v>
      </c>
      <c r="P12" s="541">
        <v>43319</v>
      </c>
      <c r="Q12" s="807">
        <v>41680</v>
      </c>
      <c r="R12" s="1230"/>
      <c r="S12" s="180"/>
      <c r="T12" s="180">
        <f t="shared" si="4"/>
        <v>194852</v>
      </c>
      <c r="U12" s="180">
        <f t="shared" si="5"/>
        <v>146670</v>
      </c>
      <c r="V12" s="180">
        <f t="shared" si="6"/>
        <v>134232</v>
      </c>
      <c r="W12" s="180">
        <f t="shared" si="7"/>
        <v>103900</v>
      </c>
      <c r="X12" s="180">
        <f t="shared" si="8"/>
        <v>100991</v>
      </c>
      <c r="Y12" s="181">
        <f t="shared" si="9"/>
        <v>96853</v>
      </c>
      <c r="Z12" s="132"/>
      <c r="AA12" s="274"/>
      <c r="AB12" s="274">
        <v>55697</v>
      </c>
      <c r="AC12" s="274">
        <v>46941</v>
      </c>
      <c r="AD12" s="222">
        <v>35525</v>
      </c>
      <c r="AE12" s="222">
        <v>27083</v>
      </c>
      <c r="AF12" s="222">
        <v>29151</v>
      </c>
      <c r="AG12" s="233">
        <v>28293</v>
      </c>
      <c r="AH12" s="120"/>
      <c r="AI12" s="121"/>
      <c r="AJ12" s="121">
        <f t="shared" si="13"/>
        <v>250549</v>
      </c>
      <c r="AK12" s="121">
        <f t="shared" si="14"/>
        <v>193611</v>
      </c>
      <c r="AL12" s="121">
        <f t="shared" si="15"/>
        <v>169757</v>
      </c>
      <c r="AM12" s="121">
        <f t="shared" si="16"/>
        <v>130983</v>
      </c>
      <c r="AN12" s="121">
        <f t="shared" si="17"/>
        <v>130142</v>
      </c>
      <c r="AO12" s="122">
        <f t="shared" si="18"/>
        <v>125146</v>
      </c>
    </row>
    <row r="13" spans="1:41" s="543" customFormat="1" ht="11.25">
      <c r="A13" s="539" t="s">
        <v>22</v>
      </c>
      <c r="B13" s="218"/>
      <c r="C13" s="352"/>
      <c r="D13" s="352">
        <v>110353</v>
      </c>
      <c r="E13" s="352">
        <v>89533</v>
      </c>
      <c r="F13" s="737">
        <v>84996</v>
      </c>
      <c r="G13" s="737">
        <v>72876</v>
      </c>
      <c r="H13" s="737">
        <v>61121</v>
      </c>
      <c r="I13" s="828">
        <v>59861</v>
      </c>
      <c r="J13" s="119"/>
      <c r="K13" s="353"/>
      <c r="L13" s="353">
        <v>89040</v>
      </c>
      <c r="M13" s="353">
        <v>65496</v>
      </c>
      <c r="N13" s="541">
        <v>61939</v>
      </c>
      <c r="O13" s="541">
        <v>55879</v>
      </c>
      <c r="P13" s="541">
        <v>47629</v>
      </c>
      <c r="Q13" s="807">
        <v>44604</v>
      </c>
      <c r="R13" s="1230"/>
      <c r="S13" s="180"/>
      <c r="T13" s="180">
        <f t="shared" si="4"/>
        <v>199393</v>
      </c>
      <c r="U13" s="180">
        <f t="shared" si="5"/>
        <v>155029</v>
      </c>
      <c r="V13" s="180">
        <f t="shared" si="6"/>
        <v>146935</v>
      </c>
      <c r="W13" s="180">
        <f t="shared" si="7"/>
        <v>128755</v>
      </c>
      <c r="X13" s="180">
        <f t="shared" si="8"/>
        <v>108750</v>
      </c>
      <c r="Y13" s="181">
        <f t="shared" si="9"/>
        <v>104465</v>
      </c>
      <c r="Z13" s="132"/>
      <c r="AA13" s="329"/>
      <c r="AB13" s="329">
        <v>50120</v>
      </c>
      <c r="AC13" s="329">
        <v>52596</v>
      </c>
      <c r="AD13" s="222">
        <v>44177</v>
      </c>
      <c r="AE13" s="222">
        <v>32378</v>
      </c>
      <c r="AF13" s="222">
        <v>34456</v>
      </c>
      <c r="AG13" s="233">
        <v>34120</v>
      </c>
      <c r="AH13" s="120"/>
      <c r="AI13" s="121"/>
      <c r="AJ13" s="121">
        <f t="shared" si="13"/>
        <v>249513</v>
      </c>
      <c r="AK13" s="121">
        <f t="shared" si="14"/>
        <v>207625</v>
      </c>
      <c r="AL13" s="121">
        <f t="shared" si="15"/>
        <v>191112</v>
      </c>
      <c r="AM13" s="121">
        <f t="shared" si="16"/>
        <v>161133</v>
      </c>
      <c r="AN13" s="121">
        <f t="shared" si="17"/>
        <v>143206</v>
      </c>
      <c r="AO13" s="122">
        <f t="shared" si="18"/>
        <v>138585</v>
      </c>
    </row>
    <row r="14" spans="1:41" s="543" customFormat="1" ht="11.25">
      <c r="A14" s="539" t="s">
        <v>23</v>
      </c>
      <c r="B14" s="218"/>
      <c r="C14" s="352"/>
      <c r="D14" s="352">
        <v>90415</v>
      </c>
      <c r="E14" s="352">
        <v>72117</v>
      </c>
      <c r="F14" s="737">
        <v>65488</v>
      </c>
      <c r="G14" s="737">
        <v>55999</v>
      </c>
      <c r="H14" s="737">
        <v>43857</v>
      </c>
      <c r="I14" s="828">
        <v>55690</v>
      </c>
      <c r="J14" s="119"/>
      <c r="K14" s="353"/>
      <c r="L14" s="353">
        <v>86338</v>
      </c>
      <c r="M14" s="353">
        <v>61249</v>
      </c>
      <c r="N14" s="541">
        <v>53555</v>
      </c>
      <c r="O14" s="541">
        <v>50967</v>
      </c>
      <c r="P14" s="541">
        <v>46814</v>
      </c>
      <c r="Q14" s="807">
        <v>41303</v>
      </c>
      <c r="R14" s="1230"/>
      <c r="S14" s="180"/>
      <c r="T14" s="180">
        <f t="shared" si="4"/>
        <v>176753</v>
      </c>
      <c r="U14" s="180">
        <f t="shared" si="5"/>
        <v>133366</v>
      </c>
      <c r="V14" s="180">
        <f t="shared" si="6"/>
        <v>119043</v>
      </c>
      <c r="W14" s="180">
        <f t="shared" si="7"/>
        <v>106966</v>
      </c>
      <c r="X14" s="180">
        <f t="shared" si="8"/>
        <v>90671</v>
      </c>
      <c r="Y14" s="181">
        <f t="shared" si="9"/>
        <v>96993</v>
      </c>
      <c r="Z14" s="132"/>
      <c r="AA14" s="329"/>
      <c r="AB14" s="329">
        <v>41638</v>
      </c>
      <c r="AC14" s="329">
        <v>46926</v>
      </c>
      <c r="AD14" s="222">
        <v>42746</v>
      </c>
      <c r="AE14" s="222">
        <v>35098</v>
      </c>
      <c r="AF14" s="222">
        <v>26214</v>
      </c>
      <c r="AG14" s="233">
        <v>23133</v>
      </c>
      <c r="AH14" s="120"/>
      <c r="AI14" s="121"/>
      <c r="AJ14" s="121">
        <f t="shared" si="13"/>
        <v>218391</v>
      </c>
      <c r="AK14" s="121">
        <f t="shared" si="14"/>
        <v>180292</v>
      </c>
      <c r="AL14" s="121">
        <f t="shared" si="15"/>
        <v>161789</v>
      </c>
      <c r="AM14" s="121">
        <f t="shared" si="16"/>
        <v>142064</v>
      </c>
      <c r="AN14" s="121">
        <f t="shared" si="17"/>
        <v>116885</v>
      </c>
      <c r="AO14" s="122">
        <f t="shared" si="18"/>
        <v>120126</v>
      </c>
    </row>
    <row r="15" spans="1:41" s="543" customFormat="1" ht="12" thickBot="1">
      <c r="A15" s="539" t="s">
        <v>24</v>
      </c>
      <c r="B15" s="560"/>
      <c r="C15" s="1219"/>
      <c r="D15" s="1219">
        <v>83875</v>
      </c>
      <c r="E15" s="1219">
        <v>68980</v>
      </c>
      <c r="F15" s="773">
        <v>62178</v>
      </c>
      <c r="G15" s="773">
        <v>58374</v>
      </c>
      <c r="H15" s="773">
        <v>49819</v>
      </c>
      <c r="I15" s="947">
        <v>70345</v>
      </c>
      <c r="J15" s="495"/>
      <c r="K15" s="549"/>
      <c r="L15" s="549">
        <v>86601</v>
      </c>
      <c r="M15" s="549">
        <v>69452</v>
      </c>
      <c r="N15" s="545">
        <v>57840</v>
      </c>
      <c r="O15" s="545">
        <v>53869</v>
      </c>
      <c r="P15" s="545">
        <v>52750</v>
      </c>
      <c r="Q15" s="808">
        <v>47201</v>
      </c>
      <c r="R15" s="1231"/>
      <c r="S15" s="398"/>
      <c r="T15" s="398">
        <f t="shared" si="4"/>
        <v>170476</v>
      </c>
      <c r="U15" s="398">
        <f t="shared" si="5"/>
        <v>138432</v>
      </c>
      <c r="V15" s="398">
        <f t="shared" si="6"/>
        <v>120018</v>
      </c>
      <c r="W15" s="398">
        <f t="shared" si="7"/>
        <v>112243</v>
      </c>
      <c r="X15" s="398">
        <f t="shared" si="8"/>
        <v>102569</v>
      </c>
      <c r="Y15" s="723">
        <f t="shared" si="9"/>
        <v>117546</v>
      </c>
      <c r="Z15" s="516"/>
      <c r="AA15" s="955"/>
      <c r="AB15" s="955">
        <v>32541</v>
      </c>
      <c r="AC15" s="955">
        <v>39298</v>
      </c>
      <c r="AD15" s="133">
        <v>33156</v>
      </c>
      <c r="AE15" s="133">
        <v>27380</v>
      </c>
      <c r="AF15" s="133">
        <v>20359</v>
      </c>
      <c r="AG15" s="1109">
        <v>27694</v>
      </c>
      <c r="AH15" s="521"/>
      <c r="AI15" s="124"/>
      <c r="AJ15" s="124">
        <f t="shared" si="13"/>
        <v>203017</v>
      </c>
      <c r="AK15" s="124">
        <f t="shared" si="14"/>
        <v>177730</v>
      </c>
      <c r="AL15" s="124">
        <f t="shared" si="15"/>
        <v>153174</v>
      </c>
      <c r="AM15" s="124">
        <f t="shared" si="16"/>
        <v>139623</v>
      </c>
      <c r="AN15" s="124">
        <f t="shared" si="17"/>
        <v>122928</v>
      </c>
      <c r="AO15" s="125">
        <f t="shared" si="18"/>
        <v>145240</v>
      </c>
    </row>
    <row r="16" spans="1:41" s="547" customFormat="1" ht="11.25">
      <c r="A16" s="781" t="s">
        <v>25</v>
      </c>
      <c r="B16" s="588">
        <f>SUM(C16-D16)/D16</f>
        <v>0.0832338292182248</v>
      </c>
      <c r="C16" s="332">
        <f>SUM(C4:C9)</f>
        <v>529801</v>
      </c>
      <c r="D16" s="332">
        <f aca="true" t="shared" si="19" ref="D16:I16">SUM(D4:D9)</f>
        <v>489092</v>
      </c>
      <c r="E16" s="332">
        <f t="shared" si="19"/>
        <v>405320</v>
      </c>
      <c r="F16" s="332">
        <f t="shared" si="19"/>
        <v>377752</v>
      </c>
      <c r="G16" s="332">
        <f t="shared" si="19"/>
        <v>315180</v>
      </c>
      <c r="H16" s="332">
        <f t="shared" si="19"/>
        <v>297760</v>
      </c>
      <c r="I16" s="332">
        <f t="shared" si="19"/>
        <v>220549</v>
      </c>
      <c r="J16" s="588">
        <f>SUM(K16-L16)/L16</f>
        <v>0.16814412173193172</v>
      </c>
      <c r="K16" s="332">
        <f>SUM(K4:K9)</f>
        <v>555956</v>
      </c>
      <c r="L16" s="332">
        <f aca="true" t="shared" si="20" ref="L16:Q16">SUM(L4:L9)</f>
        <v>475931</v>
      </c>
      <c r="M16" s="332">
        <f t="shared" si="20"/>
        <v>392665</v>
      </c>
      <c r="N16" s="332">
        <f t="shared" si="20"/>
        <v>353886</v>
      </c>
      <c r="O16" s="332">
        <f t="shared" si="20"/>
        <v>336604</v>
      </c>
      <c r="P16" s="332">
        <f t="shared" si="20"/>
        <v>285598</v>
      </c>
      <c r="Q16" s="332">
        <f t="shared" si="20"/>
        <v>241751</v>
      </c>
      <c r="R16" s="588">
        <f>SUM(S16-T16)/T16</f>
        <v>0.12510997147218253</v>
      </c>
      <c r="S16" s="332">
        <f aca="true" t="shared" si="21" ref="S16:Y16">+C16+K16</f>
        <v>1085757</v>
      </c>
      <c r="T16" s="332">
        <f t="shared" si="21"/>
        <v>965023</v>
      </c>
      <c r="U16" s="332">
        <f t="shared" si="21"/>
        <v>797985</v>
      </c>
      <c r="V16" s="332">
        <f t="shared" si="21"/>
        <v>731638</v>
      </c>
      <c r="W16" s="332">
        <f t="shared" si="21"/>
        <v>651784</v>
      </c>
      <c r="X16" s="332">
        <f t="shared" si="21"/>
        <v>583358</v>
      </c>
      <c r="Y16" s="589">
        <f t="shared" si="21"/>
        <v>462300</v>
      </c>
      <c r="Z16" s="588">
        <f>SUM(AA16-AB16)/AB16</f>
        <v>-0.1499238630414017</v>
      </c>
      <c r="AA16" s="332">
        <f>SUM(AA4:AA9)</f>
        <v>212695</v>
      </c>
      <c r="AB16" s="332">
        <f aca="true" t="shared" si="22" ref="AB16:AG16">SUM(AB4:AB9)</f>
        <v>250207</v>
      </c>
      <c r="AC16" s="332">
        <f t="shared" si="22"/>
        <v>239019</v>
      </c>
      <c r="AD16" s="332">
        <f t="shared" si="22"/>
        <v>165090</v>
      </c>
      <c r="AE16" s="332">
        <f t="shared" si="22"/>
        <v>146975</v>
      </c>
      <c r="AF16" s="332">
        <f t="shared" si="22"/>
        <v>164537</v>
      </c>
      <c r="AG16" s="332">
        <f t="shared" si="22"/>
        <v>108132</v>
      </c>
      <c r="AH16" s="588">
        <f>SUM(AI16-AK16)/AK16</f>
        <v>0.25211860320693075</v>
      </c>
      <c r="AI16" s="332">
        <f aca="true" t="shared" si="23" ref="AI16:AO16">+S16+AA16</f>
        <v>1298452</v>
      </c>
      <c r="AJ16" s="332">
        <f t="shared" si="23"/>
        <v>1215230</v>
      </c>
      <c r="AK16" s="332">
        <f t="shared" si="23"/>
        <v>1037004</v>
      </c>
      <c r="AL16" s="332">
        <f t="shared" si="23"/>
        <v>896728</v>
      </c>
      <c r="AM16" s="332">
        <f t="shared" si="23"/>
        <v>798759</v>
      </c>
      <c r="AN16" s="332">
        <f t="shared" si="23"/>
        <v>747895</v>
      </c>
      <c r="AO16" s="589">
        <f t="shared" si="23"/>
        <v>570432</v>
      </c>
    </row>
    <row r="17" spans="1:41" s="547" customFormat="1" ht="12" thickBot="1">
      <c r="A17" s="784" t="s">
        <v>28</v>
      </c>
      <c r="B17" s="313">
        <f>SUM(C17-D17)/D17</f>
        <v>-0.009042769900777582</v>
      </c>
      <c r="C17" s="102">
        <f aca="true" t="shared" si="24" ref="C17:I17">AVERAGE(C4:C15)</f>
        <v>88692.57142857143</v>
      </c>
      <c r="D17" s="102">
        <f>AVERAGE(D4:D15)</f>
        <v>89501.91666666667</v>
      </c>
      <c r="E17" s="102">
        <f t="shared" si="24"/>
        <v>72182.41666666667</v>
      </c>
      <c r="F17" s="102">
        <f t="shared" si="24"/>
        <v>67355.5</v>
      </c>
      <c r="G17" s="102">
        <f t="shared" si="24"/>
        <v>56601.083333333336</v>
      </c>
      <c r="H17" s="102">
        <f t="shared" si="24"/>
        <v>51287.333333333336</v>
      </c>
      <c r="I17" s="312">
        <f t="shared" si="24"/>
        <v>47104.833333333336</v>
      </c>
      <c r="J17" s="313">
        <f>SUM(K17-L17)/L17</f>
        <v>0.11259397206177042</v>
      </c>
      <c r="K17" s="102">
        <f aca="true" t="shared" si="25" ref="K17:Q17">AVERAGE(K4:K15)</f>
        <v>93214.14285714286</v>
      </c>
      <c r="L17" s="102">
        <f>AVERAGE(L4:L15)</f>
        <v>83780.91666666667</v>
      </c>
      <c r="M17" s="102">
        <f t="shared" si="25"/>
        <v>65203.5</v>
      </c>
      <c r="N17" s="102">
        <f t="shared" si="25"/>
        <v>58878.666666666664</v>
      </c>
      <c r="O17" s="102">
        <f t="shared" si="25"/>
        <v>54125.5</v>
      </c>
      <c r="P17" s="102">
        <f t="shared" si="25"/>
        <v>47517.166666666664</v>
      </c>
      <c r="Q17" s="312">
        <f t="shared" si="25"/>
        <v>41573.833333333336</v>
      </c>
      <c r="R17" s="313">
        <f>SUM(S17-T17)/T17</f>
        <v>0.04976765895668226</v>
      </c>
      <c r="S17" s="102">
        <f>AVERAGE(S4:S15)</f>
        <v>181906.7142857143</v>
      </c>
      <c r="T17" s="102">
        <f aca="true" t="shared" si="26" ref="T17:Y17">AVERAGE(T4:T15)</f>
        <v>173282.83333333334</v>
      </c>
      <c r="U17" s="102">
        <f t="shared" si="26"/>
        <v>137385.91666666666</v>
      </c>
      <c r="V17" s="102">
        <f t="shared" si="26"/>
        <v>126234.16666666667</v>
      </c>
      <c r="W17" s="102">
        <f t="shared" si="26"/>
        <v>110726.58333333333</v>
      </c>
      <c r="X17" s="102">
        <f t="shared" si="26"/>
        <v>98804.5</v>
      </c>
      <c r="Y17" s="312">
        <f t="shared" si="26"/>
        <v>88678.66666666667</v>
      </c>
      <c r="Z17" s="313">
        <f>SUM(AA17-AB17)/AB17</f>
        <v>-0.1970686649348078</v>
      </c>
      <c r="AA17" s="335">
        <f aca="true" t="shared" si="27" ref="AA17:AG17">AVERAGE(AA4:AA15)</f>
        <v>35128.71428571428</v>
      </c>
      <c r="AB17" s="335">
        <f>AVERAGE(AB4:AB15)</f>
        <v>43750.583333333336</v>
      </c>
      <c r="AC17" s="335">
        <f t="shared" si="27"/>
        <v>42623.5</v>
      </c>
      <c r="AD17" s="102">
        <f t="shared" si="27"/>
        <v>32225.166666666668</v>
      </c>
      <c r="AE17" s="102">
        <f t="shared" si="27"/>
        <v>27867.416666666668</v>
      </c>
      <c r="AF17" s="102">
        <f t="shared" si="27"/>
        <v>28013.833333333332</v>
      </c>
      <c r="AG17" s="312">
        <f t="shared" si="27"/>
        <v>21981.833333333332</v>
      </c>
      <c r="AH17" s="313">
        <f>SUM(AI17-AK17)/AK17</f>
        <v>0.20568930553963755</v>
      </c>
      <c r="AI17" s="335">
        <f aca="true" t="shared" si="28" ref="AI17:AO17">AVERAGE(AI4:AI15)</f>
        <v>217035.42857142858</v>
      </c>
      <c r="AJ17" s="335">
        <f>AVERAGE(AJ4:AJ15)</f>
        <v>217033.41666666666</v>
      </c>
      <c r="AK17" s="335">
        <f t="shared" si="28"/>
        <v>180009.41666666666</v>
      </c>
      <c r="AL17" s="102">
        <f t="shared" si="28"/>
        <v>158459.33333333334</v>
      </c>
      <c r="AM17" s="102">
        <f t="shared" si="28"/>
        <v>138594</v>
      </c>
      <c r="AN17" s="102">
        <f t="shared" si="28"/>
        <v>126818.33333333333</v>
      </c>
      <c r="AO17" s="312">
        <f t="shared" si="28"/>
        <v>110660.5</v>
      </c>
    </row>
    <row r="19" spans="27:29" s="318" customFormat="1" ht="12.75">
      <c r="AA19" s="1767"/>
      <c r="AB19" s="1767"/>
      <c r="AC19" s="1767"/>
    </row>
    <row r="20" spans="27:29" s="318" customFormat="1" ht="12.75">
      <c r="AA20" s="1767"/>
      <c r="AB20" s="1767"/>
      <c r="AC20" s="1767"/>
    </row>
    <row r="21" spans="27:29" s="318" customFormat="1" ht="12.75">
      <c r="AA21" s="1767"/>
      <c r="AB21" s="1767"/>
      <c r="AC21" s="1767"/>
    </row>
    <row r="22" spans="27:29" s="318" customFormat="1" ht="12.75">
      <c r="AA22" s="1767"/>
      <c r="AB22" s="1767"/>
      <c r="AC22" s="1767"/>
    </row>
    <row r="23" spans="27:29" s="318" customFormat="1" ht="12.75">
      <c r="AA23" s="1767"/>
      <c r="AB23" s="1767"/>
      <c r="AC23" s="1767"/>
    </row>
    <row r="24" spans="27:29" s="318" customFormat="1" ht="12.75">
      <c r="AA24" s="1767"/>
      <c r="AB24" s="1767"/>
      <c r="AC24" s="1767"/>
    </row>
    <row r="25" spans="27:29" s="318" customFormat="1" ht="12.75">
      <c r="AA25" s="1767"/>
      <c r="AB25" s="1767"/>
      <c r="AC25" s="1767"/>
    </row>
    <row r="26" spans="27:29" s="318" customFormat="1" ht="12.75">
      <c r="AA26" s="1767"/>
      <c r="AB26" s="1767"/>
      <c r="AC26" s="1767"/>
    </row>
    <row r="27" spans="27:29" s="318" customFormat="1" ht="12.75">
      <c r="AA27" s="1767"/>
      <c r="AB27" s="1767"/>
      <c r="AC27" s="1767"/>
    </row>
    <row r="28" spans="27:29" s="318" customFormat="1" ht="12.75">
      <c r="AA28" s="1767"/>
      <c r="AB28" s="1767"/>
      <c r="AC28" s="1767"/>
    </row>
    <row r="29" spans="27:29" s="318" customFormat="1" ht="12.75">
      <c r="AA29" s="1767"/>
      <c r="AB29" s="1767"/>
      <c r="AC29" s="1767"/>
    </row>
    <row r="30" spans="27:29" s="318" customFormat="1" ht="12.75">
      <c r="AA30" s="1767"/>
      <c r="AB30" s="1767"/>
      <c r="AC30" s="1767"/>
    </row>
  </sheetData>
  <mergeCells count="7">
    <mergeCell ref="A1:A2"/>
    <mergeCell ref="B1:AO1"/>
    <mergeCell ref="AH3:AO3"/>
    <mergeCell ref="B3:I3"/>
    <mergeCell ref="J3:Q3"/>
    <mergeCell ref="R3:Y3"/>
    <mergeCell ref="Z3:AG3"/>
  </mergeCells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B24"/>
  <sheetViews>
    <sheetView workbookViewId="0" topLeftCell="A1">
      <pane xSplit="1" ySplit="2" topLeftCell="A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I10" sqref="AI10:AJ10"/>
    </sheetView>
  </sheetViews>
  <sheetFormatPr defaultColWidth="9.140625" defaultRowHeight="12.75"/>
  <cols>
    <col min="1" max="1" width="10.7109375" style="3" bestFit="1" customWidth="1"/>
    <col min="2" max="2" width="6.7109375" style="3" bestFit="1" customWidth="1"/>
    <col min="3" max="9" width="6.57421875" style="3" customWidth="1"/>
    <col min="10" max="10" width="6.7109375" style="3" bestFit="1" customWidth="1"/>
    <col min="11" max="17" width="6.57421875" style="3" customWidth="1"/>
    <col min="18" max="18" width="6.140625" style="3" customWidth="1"/>
    <col min="19" max="23" width="7.8515625" style="3" customWidth="1"/>
    <col min="24" max="25" width="6.57421875" style="3" customWidth="1"/>
    <col min="26" max="26" width="6.7109375" style="3" bestFit="1" customWidth="1"/>
    <col min="27" max="33" width="6.57421875" style="3" customWidth="1"/>
    <col min="34" max="34" width="6.7109375" style="3" bestFit="1" customWidth="1"/>
    <col min="35" max="41" width="6.57421875" style="3" customWidth="1"/>
    <col min="42" max="42" width="10.00390625" style="3" bestFit="1" customWidth="1"/>
    <col min="43" max="44" width="9.00390625" style="3" customWidth="1"/>
    <col min="45" max="49" width="7.8515625" style="3" customWidth="1"/>
    <col min="50" max="16384" width="9.140625" style="3" customWidth="1"/>
  </cols>
  <sheetData>
    <row r="1" spans="1:49" s="137" customFormat="1" ht="12" thickBot="1">
      <c r="A1" s="1866" t="s">
        <v>89</v>
      </c>
      <c r="B1" s="1867" t="s">
        <v>67</v>
      </c>
      <c r="C1" s="1868"/>
      <c r="D1" s="1868"/>
      <c r="E1" s="1868"/>
      <c r="F1" s="1868"/>
      <c r="G1" s="1869"/>
      <c r="H1" s="1869"/>
      <c r="I1" s="1869"/>
      <c r="J1" s="2093"/>
      <c r="K1" s="2093"/>
      <c r="L1" s="2093"/>
      <c r="M1" s="2093"/>
      <c r="N1" s="2093"/>
      <c r="O1" s="2093"/>
      <c r="P1" s="2093"/>
      <c r="Q1" s="2093"/>
      <c r="R1" s="2093"/>
      <c r="S1" s="2093"/>
      <c r="T1" s="2093"/>
      <c r="U1" s="2093"/>
      <c r="V1" s="2093"/>
      <c r="W1" s="2093"/>
      <c r="X1" s="2093"/>
      <c r="Y1" s="2093"/>
      <c r="Z1" s="2093"/>
      <c r="AA1" s="2093"/>
      <c r="AB1" s="2093"/>
      <c r="AC1" s="2093"/>
      <c r="AD1" s="2093"/>
      <c r="AE1" s="2093"/>
      <c r="AF1" s="2093"/>
      <c r="AG1" s="2094"/>
      <c r="AH1" s="1935" t="s">
        <v>65</v>
      </c>
      <c r="AI1" s="1936"/>
      <c r="AJ1" s="1936"/>
      <c r="AK1" s="1936"/>
      <c r="AL1" s="1936"/>
      <c r="AM1" s="1869"/>
      <c r="AN1" s="1869"/>
      <c r="AO1" s="1929"/>
      <c r="AP1" s="1927"/>
      <c r="AQ1" s="1928"/>
      <c r="AR1" s="1928"/>
      <c r="AS1" s="1928"/>
      <c r="AT1" s="1928"/>
      <c r="AU1" s="1869"/>
      <c r="AV1" s="1869"/>
      <c r="AW1" s="1929"/>
    </row>
    <row r="2" spans="1:49" s="580" customFormat="1" ht="24" thickBot="1" thickTop="1">
      <c r="A2" s="1902"/>
      <c r="B2" s="571" t="s">
        <v>44</v>
      </c>
      <c r="C2" s="572">
        <v>2008</v>
      </c>
      <c r="D2" s="572">
        <v>2007</v>
      </c>
      <c r="E2" s="572">
        <v>2006</v>
      </c>
      <c r="F2" s="572">
        <v>2005</v>
      </c>
      <c r="G2" s="572">
        <v>2004</v>
      </c>
      <c r="H2" s="572">
        <v>2003</v>
      </c>
      <c r="I2" s="573">
        <v>2002</v>
      </c>
      <c r="J2" s="496" t="s">
        <v>44</v>
      </c>
      <c r="K2" s="80">
        <v>2008</v>
      </c>
      <c r="L2" s="80">
        <v>2007</v>
      </c>
      <c r="M2" s="80">
        <v>2006</v>
      </c>
      <c r="N2" s="80">
        <v>2005</v>
      </c>
      <c r="O2" s="80">
        <v>2004</v>
      </c>
      <c r="P2" s="80">
        <v>2003</v>
      </c>
      <c r="Q2" s="497">
        <v>2002</v>
      </c>
      <c r="R2" s="574" t="s">
        <v>44</v>
      </c>
      <c r="S2" s="575">
        <v>2008</v>
      </c>
      <c r="T2" s="575">
        <v>2007</v>
      </c>
      <c r="U2" s="575">
        <v>2006</v>
      </c>
      <c r="V2" s="575">
        <v>2005</v>
      </c>
      <c r="W2" s="575">
        <v>2004</v>
      </c>
      <c r="X2" s="575">
        <v>2003</v>
      </c>
      <c r="Y2" s="576">
        <v>2002</v>
      </c>
      <c r="Z2" s="577" t="s">
        <v>44</v>
      </c>
      <c r="AA2" s="578">
        <v>2008</v>
      </c>
      <c r="AB2" s="578">
        <v>2007</v>
      </c>
      <c r="AC2" s="578">
        <v>2006</v>
      </c>
      <c r="AD2" s="578">
        <v>2005</v>
      </c>
      <c r="AE2" s="578">
        <v>2004</v>
      </c>
      <c r="AF2" s="578">
        <v>2003</v>
      </c>
      <c r="AG2" s="579">
        <v>2002</v>
      </c>
      <c r="AH2" s="496" t="s">
        <v>44</v>
      </c>
      <c r="AI2" s="80">
        <v>2008</v>
      </c>
      <c r="AJ2" s="80">
        <v>2007</v>
      </c>
      <c r="AK2" s="80">
        <v>2006</v>
      </c>
      <c r="AL2" s="80">
        <v>2005</v>
      </c>
      <c r="AM2" s="80">
        <v>2004</v>
      </c>
      <c r="AN2" s="80">
        <v>2003</v>
      </c>
      <c r="AO2" s="497">
        <v>2002</v>
      </c>
      <c r="AP2" s="501" t="s">
        <v>44</v>
      </c>
      <c r="AQ2" s="79">
        <v>2007</v>
      </c>
      <c r="AR2" s="79">
        <v>2007</v>
      </c>
      <c r="AS2" s="79">
        <v>2006</v>
      </c>
      <c r="AT2" s="79">
        <v>2005</v>
      </c>
      <c r="AU2" s="79">
        <v>2004</v>
      </c>
      <c r="AV2" s="79">
        <v>2003</v>
      </c>
      <c r="AW2" s="502">
        <v>2002</v>
      </c>
    </row>
    <row r="3" spans="1:49" s="264" customFormat="1" ht="12" thickBot="1">
      <c r="A3" s="326"/>
      <c r="B3" s="1875" t="s">
        <v>68</v>
      </c>
      <c r="C3" s="1876"/>
      <c r="D3" s="1876"/>
      <c r="E3" s="1876"/>
      <c r="F3" s="1877"/>
      <c r="G3" s="1877"/>
      <c r="H3" s="1877"/>
      <c r="I3" s="1862"/>
      <c r="J3" s="1875" t="s">
        <v>69</v>
      </c>
      <c r="K3" s="1876"/>
      <c r="L3" s="1876"/>
      <c r="M3" s="1876"/>
      <c r="N3" s="1877"/>
      <c r="O3" s="1877"/>
      <c r="P3" s="1877"/>
      <c r="Q3" s="1878"/>
      <c r="R3" s="1876" t="s">
        <v>71</v>
      </c>
      <c r="S3" s="1876"/>
      <c r="T3" s="1876"/>
      <c r="U3" s="1876"/>
      <c r="V3" s="1877"/>
      <c r="W3" s="1877"/>
      <c r="X3" s="1877"/>
      <c r="Y3" s="1878"/>
      <c r="Z3" s="1876" t="s">
        <v>49</v>
      </c>
      <c r="AA3" s="1876"/>
      <c r="AB3" s="1876"/>
      <c r="AC3" s="1876"/>
      <c r="AD3" s="1877"/>
      <c r="AE3" s="1877"/>
      <c r="AF3" s="1877"/>
      <c r="AG3" s="1862"/>
      <c r="AH3" s="1875" t="s">
        <v>70</v>
      </c>
      <c r="AI3" s="1876"/>
      <c r="AJ3" s="1876"/>
      <c r="AK3" s="1876"/>
      <c r="AL3" s="1877"/>
      <c r="AM3" s="1877"/>
      <c r="AN3" s="1877"/>
      <c r="AO3" s="1878"/>
      <c r="AP3" s="492" t="s">
        <v>66</v>
      </c>
      <c r="AQ3" s="493"/>
      <c r="AR3" s="493"/>
      <c r="AS3" s="493"/>
      <c r="AT3" s="493"/>
      <c r="AU3" s="493"/>
      <c r="AV3" s="493"/>
      <c r="AW3" s="494"/>
    </row>
    <row r="4" spans="1:49" s="1795" customFormat="1" ht="11.25">
      <c r="A4" s="1803" t="s">
        <v>13</v>
      </c>
      <c r="B4" s="139">
        <f aca="true" t="shared" si="0" ref="B4:B10">SUM(C4-D4)/D4</f>
        <v>-0.08422332489895172</v>
      </c>
      <c r="C4" s="1789">
        <v>55736</v>
      </c>
      <c r="D4" s="1789">
        <v>60862</v>
      </c>
      <c r="E4" s="1789">
        <v>63586</v>
      </c>
      <c r="F4" s="1789">
        <v>71204</v>
      </c>
      <c r="G4" s="1789">
        <v>44262</v>
      </c>
      <c r="H4" s="1789">
        <v>40476</v>
      </c>
      <c r="I4" s="1790">
        <v>36295</v>
      </c>
      <c r="J4" s="1106">
        <f aca="true" t="shared" si="1" ref="J4:J10">SUM(K4-L4)/L4</f>
        <v>-0.014254663094576151</v>
      </c>
      <c r="K4" s="1791">
        <v>39002</v>
      </c>
      <c r="L4" s="1791">
        <v>39566</v>
      </c>
      <c r="M4" s="1791">
        <v>37410</v>
      </c>
      <c r="N4" s="1791">
        <v>43642</v>
      </c>
      <c r="O4" s="1791">
        <v>27996</v>
      </c>
      <c r="P4" s="1791">
        <v>29688</v>
      </c>
      <c r="Q4" s="1792">
        <v>28741</v>
      </c>
      <c r="R4" s="213">
        <f aca="true" t="shared" si="2" ref="R4:R10">SUM(S4-T4)/T4</f>
        <v>-0.056657505874855615</v>
      </c>
      <c r="S4" s="179">
        <f aca="true" t="shared" si="3" ref="S4:T15">+C4+K4</f>
        <v>94738</v>
      </c>
      <c r="T4" s="179">
        <f t="shared" si="3"/>
        <v>100428</v>
      </c>
      <c r="U4" s="179">
        <f aca="true" t="shared" si="4" ref="U4:U15">+E4+M4</f>
        <v>100996</v>
      </c>
      <c r="V4" s="179">
        <f aca="true" t="shared" si="5" ref="V4:V15">+F4+N4</f>
        <v>114846</v>
      </c>
      <c r="W4" s="179">
        <f aca="true" t="shared" si="6" ref="W4:W15">+G4+O4</f>
        <v>72258</v>
      </c>
      <c r="X4" s="179">
        <f aca="true" t="shared" si="7" ref="X4:X15">+H4+P4</f>
        <v>70164</v>
      </c>
      <c r="Y4" s="214">
        <f aca="true" t="shared" si="8" ref="Y4:Y15">+I4+Q4</f>
        <v>65036</v>
      </c>
      <c r="Z4" s="1250">
        <f aca="true" t="shared" si="9" ref="Z4:Z10">SUM(AA4-AB4)/AB4</f>
        <v>-0.4489621533093602</v>
      </c>
      <c r="AA4" s="1793">
        <v>15477</v>
      </c>
      <c r="AB4" s="1793">
        <v>28087</v>
      </c>
      <c r="AC4" s="1793">
        <v>27457</v>
      </c>
      <c r="AD4" s="1793">
        <v>29283</v>
      </c>
      <c r="AE4" s="1793">
        <v>16962</v>
      </c>
      <c r="AF4" s="1793">
        <v>25166</v>
      </c>
      <c r="AG4" s="1794">
        <v>21583</v>
      </c>
      <c r="AH4" s="141">
        <f aca="true" t="shared" si="10" ref="AH4:AH10">SUM(AI4-AJ4)/AJ4</f>
        <v>0.12830301990391216</v>
      </c>
      <c r="AI4" s="1791">
        <v>26303</v>
      </c>
      <c r="AJ4" s="1791">
        <v>23312</v>
      </c>
      <c r="AK4" s="1791">
        <v>26347</v>
      </c>
      <c r="AL4" s="1791">
        <v>28935</v>
      </c>
      <c r="AM4" s="1791">
        <v>21479</v>
      </c>
      <c r="AN4" s="1791">
        <v>20142</v>
      </c>
      <c r="AO4" s="1792">
        <v>18377</v>
      </c>
      <c r="AP4" s="175">
        <f aca="true" t="shared" si="11" ref="AP4:AP10">SUM(AQ4-AR4)/AR4</f>
        <v>-0.10083186784959197</v>
      </c>
      <c r="AQ4" s="197">
        <f>+S4+AA4+AI4</f>
        <v>136518</v>
      </c>
      <c r="AR4" s="197">
        <f>+T4+AB4+AJ4</f>
        <v>151827</v>
      </c>
      <c r="AS4" s="197">
        <f aca="true" t="shared" si="12" ref="AS4:AS15">+U4+AC4+AK4</f>
        <v>154800</v>
      </c>
      <c r="AT4" s="197">
        <f aca="true" t="shared" si="13" ref="AT4:AT15">+V4+AD4+AL4</f>
        <v>173064</v>
      </c>
      <c r="AU4" s="197">
        <f aca="true" t="shared" si="14" ref="AU4:AU15">+W4+AE4+AM4</f>
        <v>110699</v>
      </c>
      <c r="AV4" s="197">
        <f aca="true" t="shared" si="15" ref="AV4:AV15">+X4+AF4+AN4</f>
        <v>115472</v>
      </c>
      <c r="AW4" s="198">
        <f aca="true" t="shared" si="16" ref="AW4:AW15">+Y4+AG4+AO4</f>
        <v>104996</v>
      </c>
    </row>
    <row r="5" spans="1:80" s="1795" customFormat="1" ht="11.25">
      <c r="A5" s="1804" t="s">
        <v>14</v>
      </c>
      <c r="B5" s="140">
        <f t="shared" si="0"/>
        <v>-0.05413497082455015</v>
      </c>
      <c r="C5" s="1796">
        <v>61922</v>
      </c>
      <c r="D5" s="1796">
        <v>65466</v>
      </c>
      <c r="E5" s="1796">
        <v>52719</v>
      </c>
      <c r="F5" s="1796">
        <v>67377</v>
      </c>
      <c r="G5" s="1796">
        <v>41867</v>
      </c>
      <c r="H5" s="1796">
        <v>42630</v>
      </c>
      <c r="I5" s="1797">
        <v>37400</v>
      </c>
      <c r="J5" s="1107">
        <f t="shared" si="1"/>
        <v>0.19541864139020537</v>
      </c>
      <c r="K5" s="39">
        <v>45402</v>
      </c>
      <c r="L5" s="39">
        <v>37980</v>
      </c>
      <c r="M5" s="39">
        <v>35829</v>
      </c>
      <c r="N5" s="39">
        <v>39646</v>
      </c>
      <c r="O5" s="39">
        <v>30777</v>
      </c>
      <c r="P5" s="39">
        <v>30817</v>
      </c>
      <c r="Q5" s="67">
        <v>29621</v>
      </c>
      <c r="R5" s="220">
        <f t="shared" si="2"/>
        <v>0.03748815807281094</v>
      </c>
      <c r="S5" s="180">
        <f t="shared" si="3"/>
        <v>107324</v>
      </c>
      <c r="T5" s="180">
        <f t="shared" si="3"/>
        <v>103446</v>
      </c>
      <c r="U5" s="180">
        <f t="shared" si="4"/>
        <v>88548</v>
      </c>
      <c r="V5" s="180">
        <f t="shared" si="5"/>
        <v>107023</v>
      </c>
      <c r="W5" s="180">
        <f t="shared" si="6"/>
        <v>72644</v>
      </c>
      <c r="X5" s="180">
        <f t="shared" si="7"/>
        <v>73447</v>
      </c>
      <c r="Y5" s="221">
        <f t="shared" si="8"/>
        <v>67021</v>
      </c>
      <c r="Z5" s="1251">
        <f t="shared" si="9"/>
        <v>-0.20189035916824197</v>
      </c>
      <c r="AA5" s="1798">
        <v>16888</v>
      </c>
      <c r="AB5" s="1798">
        <v>21160</v>
      </c>
      <c r="AC5" s="1798">
        <v>24348</v>
      </c>
      <c r="AD5" s="1798">
        <v>23422</v>
      </c>
      <c r="AE5" s="1798">
        <v>17489</v>
      </c>
      <c r="AF5" s="1798">
        <v>18397</v>
      </c>
      <c r="AG5" s="1799">
        <v>15355</v>
      </c>
      <c r="AH5" s="119">
        <f t="shared" si="10"/>
        <v>0.04515491100856955</v>
      </c>
      <c r="AI5" s="39">
        <v>25368</v>
      </c>
      <c r="AJ5" s="39">
        <v>24272</v>
      </c>
      <c r="AK5" s="39">
        <v>24347</v>
      </c>
      <c r="AL5" s="39">
        <v>23362</v>
      </c>
      <c r="AM5" s="39">
        <v>22448</v>
      </c>
      <c r="AN5" s="39">
        <v>23907</v>
      </c>
      <c r="AO5" s="67">
        <v>19910</v>
      </c>
      <c r="AP5" s="120">
        <f t="shared" si="11"/>
        <v>0.004715270221254987</v>
      </c>
      <c r="AQ5" s="121">
        <f aca="true" t="shared" si="17" ref="AQ5:AR15">+S5+AA5+AI5</f>
        <v>149580</v>
      </c>
      <c r="AR5" s="121">
        <f t="shared" si="17"/>
        <v>148878</v>
      </c>
      <c r="AS5" s="121">
        <f t="shared" si="12"/>
        <v>137243</v>
      </c>
      <c r="AT5" s="121">
        <f t="shared" si="13"/>
        <v>153807</v>
      </c>
      <c r="AU5" s="121">
        <f t="shared" si="14"/>
        <v>112581</v>
      </c>
      <c r="AV5" s="121">
        <f t="shared" si="15"/>
        <v>115751</v>
      </c>
      <c r="AW5" s="122">
        <f t="shared" si="16"/>
        <v>102286</v>
      </c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</row>
    <row r="6" spans="1:49" s="103" customFormat="1" ht="11.25">
      <c r="A6" s="1804" t="s">
        <v>15</v>
      </c>
      <c r="B6" s="140">
        <f t="shared" si="0"/>
        <v>0.08172791645239132</v>
      </c>
      <c r="C6" s="1796">
        <v>54690</v>
      </c>
      <c r="D6" s="1796">
        <v>50558</v>
      </c>
      <c r="E6" s="1796">
        <v>68190</v>
      </c>
      <c r="F6" s="1796">
        <v>60425</v>
      </c>
      <c r="G6" s="1796">
        <v>49863</v>
      </c>
      <c r="H6" s="1796">
        <v>45025</v>
      </c>
      <c r="I6" s="1797">
        <v>40593</v>
      </c>
      <c r="J6" s="1107">
        <f t="shared" si="1"/>
        <v>0.03240845176329047</v>
      </c>
      <c r="K6" s="39">
        <v>41190</v>
      </c>
      <c r="L6" s="39">
        <v>39897</v>
      </c>
      <c r="M6" s="39">
        <v>39860</v>
      </c>
      <c r="N6" s="39">
        <v>45885</v>
      </c>
      <c r="O6" s="39">
        <v>32967</v>
      </c>
      <c r="P6" s="39">
        <v>28290</v>
      </c>
      <c r="Q6" s="67">
        <v>31136</v>
      </c>
      <c r="R6" s="220">
        <f t="shared" si="2"/>
        <v>0.059974572992095514</v>
      </c>
      <c r="S6" s="180">
        <f>+C6+K6</f>
        <v>95880</v>
      </c>
      <c r="T6" s="180">
        <f t="shared" si="3"/>
        <v>90455</v>
      </c>
      <c r="U6" s="180">
        <f t="shared" si="4"/>
        <v>108050</v>
      </c>
      <c r="V6" s="180">
        <f t="shared" si="5"/>
        <v>106310</v>
      </c>
      <c r="W6" s="180">
        <f t="shared" si="6"/>
        <v>82830</v>
      </c>
      <c r="X6" s="180">
        <f t="shared" si="7"/>
        <v>73315</v>
      </c>
      <c r="Y6" s="221">
        <f t="shared" si="8"/>
        <v>71729</v>
      </c>
      <c r="Z6" s="1251">
        <f t="shared" si="9"/>
        <v>0.06647369490148283</v>
      </c>
      <c r="AA6" s="1798">
        <v>21001</v>
      </c>
      <c r="AB6" s="1798">
        <v>19692</v>
      </c>
      <c r="AC6" s="1798">
        <v>24987</v>
      </c>
      <c r="AD6" s="1798">
        <v>33865</v>
      </c>
      <c r="AE6" s="1798">
        <v>16607</v>
      </c>
      <c r="AF6" s="1798">
        <v>19356</v>
      </c>
      <c r="AG6" s="1799">
        <v>18658</v>
      </c>
      <c r="AH6" s="119">
        <f t="shared" si="10"/>
        <v>-0.10878003400378533</v>
      </c>
      <c r="AI6" s="39">
        <v>27782</v>
      </c>
      <c r="AJ6" s="39">
        <v>31173</v>
      </c>
      <c r="AK6" s="39">
        <v>27993</v>
      </c>
      <c r="AL6" s="39">
        <v>26934</v>
      </c>
      <c r="AM6" s="39">
        <v>24757</v>
      </c>
      <c r="AN6" s="39">
        <v>24757</v>
      </c>
      <c r="AO6" s="67">
        <v>23926</v>
      </c>
      <c r="AP6" s="120">
        <f t="shared" si="11"/>
        <v>0.023655533540900085</v>
      </c>
      <c r="AQ6" s="121">
        <f>+S6+AA6+AI6</f>
        <v>144663</v>
      </c>
      <c r="AR6" s="121">
        <f t="shared" si="17"/>
        <v>141320</v>
      </c>
      <c r="AS6" s="121">
        <f t="shared" si="12"/>
        <v>161030</v>
      </c>
      <c r="AT6" s="121">
        <f t="shared" si="13"/>
        <v>167109</v>
      </c>
      <c r="AU6" s="121">
        <f t="shared" si="14"/>
        <v>124194</v>
      </c>
      <c r="AV6" s="121">
        <f t="shared" si="15"/>
        <v>117428</v>
      </c>
      <c r="AW6" s="122">
        <f t="shared" si="16"/>
        <v>114313</v>
      </c>
    </row>
    <row r="7" spans="1:49" s="103" customFormat="1" ht="11.25">
      <c r="A7" s="1804" t="s">
        <v>16</v>
      </c>
      <c r="B7" s="140">
        <f t="shared" si="0"/>
        <v>-0.1005425337383446</v>
      </c>
      <c r="C7" s="1796">
        <v>59518</v>
      </c>
      <c r="D7" s="1796">
        <v>66171</v>
      </c>
      <c r="E7" s="1796">
        <v>65495</v>
      </c>
      <c r="F7" s="1796">
        <v>64363</v>
      </c>
      <c r="G7" s="1796">
        <v>57357</v>
      </c>
      <c r="H7" s="1796">
        <v>46892</v>
      </c>
      <c r="I7" s="1797">
        <v>38415</v>
      </c>
      <c r="J7" s="1107">
        <f t="shared" si="1"/>
        <v>-0.015957178205322425</v>
      </c>
      <c r="K7" s="39">
        <v>38974</v>
      </c>
      <c r="L7" s="39">
        <v>39606</v>
      </c>
      <c r="M7" s="39">
        <v>36214</v>
      </c>
      <c r="N7" s="39">
        <v>38015</v>
      </c>
      <c r="O7" s="39">
        <v>31334</v>
      </c>
      <c r="P7" s="39">
        <v>28776</v>
      </c>
      <c r="Q7" s="67">
        <v>32695</v>
      </c>
      <c r="R7" s="220">
        <f t="shared" si="2"/>
        <v>-0.06887130472598013</v>
      </c>
      <c r="S7" s="180">
        <f>+C7+K7</f>
        <v>98492</v>
      </c>
      <c r="T7" s="180">
        <f t="shared" si="3"/>
        <v>105777</v>
      </c>
      <c r="U7" s="180">
        <f t="shared" si="4"/>
        <v>101709</v>
      </c>
      <c r="V7" s="180">
        <f t="shared" si="5"/>
        <v>102378</v>
      </c>
      <c r="W7" s="180">
        <f t="shared" si="6"/>
        <v>88691</v>
      </c>
      <c r="X7" s="180">
        <f t="shared" si="7"/>
        <v>75668</v>
      </c>
      <c r="Y7" s="221">
        <f t="shared" si="8"/>
        <v>71110</v>
      </c>
      <c r="Z7" s="1251">
        <f t="shared" si="9"/>
        <v>-0.048667017274161575</v>
      </c>
      <c r="AA7" s="1798">
        <v>23516</v>
      </c>
      <c r="AB7" s="1798">
        <v>24719</v>
      </c>
      <c r="AC7" s="1798">
        <v>32439</v>
      </c>
      <c r="AD7" s="1798">
        <v>28090</v>
      </c>
      <c r="AE7" s="1798">
        <v>26601</v>
      </c>
      <c r="AF7" s="1798">
        <v>23665</v>
      </c>
      <c r="AG7" s="1799">
        <v>14919</v>
      </c>
      <c r="AH7" s="119">
        <f t="shared" si="10"/>
        <v>-0.018480492813141684</v>
      </c>
      <c r="AI7" s="39">
        <v>28202</v>
      </c>
      <c r="AJ7" s="39">
        <v>28733</v>
      </c>
      <c r="AK7" s="39">
        <v>31802</v>
      </c>
      <c r="AL7" s="39">
        <v>29981</v>
      </c>
      <c r="AM7" s="39">
        <v>26548</v>
      </c>
      <c r="AN7" s="39">
        <v>21701</v>
      </c>
      <c r="AO7" s="67">
        <v>21559</v>
      </c>
      <c r="AP7" s="120">
        <f t="shared" si="11"/>
        <v>-0.05664169215406741</v>
      </c>
      <c r="AQ7" s="121">
        <f>+S7+AA7+AI7</f>
        <v>150210</v>
      </c>
      <c r="AR7" s="121">
        <f t="shared" si="17"/>
        <v>159229</v>
      </c>
      <c r="AS7" s="121">
        <f t="shared" si="12"/>
        <v>165950</v>
      </c>
      <c r="AT7" s="121">
        <f t="shared" si="13"/>
        <v>160449</v>
      </c>
      <c r="AU7" s="121">
        <f t="shared" si="14"/>
        <v>141840</v>
      </c>
      <c r="AV7" s="121">
        <f t="shared" si="15"/>
        <v>121034</v>
      </c>
      <c r="AW7" s="122">
        <f t="shared" si="16"/>
        <v>107588</v>
      </c>
    </row>
    <row r="8" spans="1:49" s="103" customFormat="1" ht="11.25">
      <c r="A8" s="1804" t="s">
        <v>17</v>
      </c>
      <c r="B8" s="140">
        <f t="shared" si="0"/>
        <v>-0.1885920654309841</v>
      </c>
      <c r="C8" s="1796">
        <v>61112</v>
      </c>
      <c r="D8" s="1796">
        <v>75316</v>
      </c>
      <c r="E8" s="1796">
        <v>63131</v>
      </c>
      <c r="F8" s="1796">
        <v>61764</v>
      </c>
      <c r="G8" s="1796">
        <v>51631</v>
      </c>
      <c r="H8" s="1796">
        <v>46662</v>
      </c>
      <c r="I8" s="1797">
        <v>39804</v>
      </c>
      <c r="J8" s="1107">
        <f t="shared" si="1"/>
        <v>-0.011259280969128566</v>
      </c>
      <c r="K8" s="39">
        <v>40483</v>
      </c>
      <c r="L8" s="39">
        <v>40944</v>
      </c>
      <c r="M8" s="39">
        <v>35256</v>
      </c>
      <c r="N8" s="39">
        <v>39039</v>
      </c>
      <c r="O8" s="39">
        <v>29172</v>
      </c>
      <c r="P8" s="39">
        <v>27319</v>
      </c>
      <c r="Q8" s="67">
        <v>32000</v>
      </c>
      <c r="R8" s="220">
        <f t="shared" si="2"/>
        <v>-0.12613968690865301</v>
      </c>
      <c r="S8" s="180">
        <f>+C8+K8</f>
        <v>101595</v>
      </c>
      <c r="T8" s="180">
        <f t="shared" si="3"/>
        <v>116260</v>
      </c>
      <c r="U8" s="180">
        <f t="shared" si="4"/>
        <v>98387</v>
      </c>
      <c r="V8" s="180">
        <f t="shared" si="5"/>
        <v>100803</v>
      </c>
      <c r="W8" s="180">
        <f t="shared" si="6"/>
        <v>80803</v>
      </c>
      <c r="X8" s="180">
        <f t="shared" si="7"/>
        <v>73981</v>
      </c>
      <c r="Y8" s="221">
        <f t="shared" si="8"/>
        <v>71804</v>
      </c>
      <c r="Z8" s="1251">
        <f t="shared" si="9"/>
        <v>-0.13834173156207055</v>
      </c>
      <c r="AA8" s="1798">
        <v>26334</v>
      </c>
      <c r="AB8" s="1798">
        <v>30562</v>
      </c>
      <c r="AC8" s="1798">
        <v>35584</v>
      </c>
      <c r="AD8" s="1798">
        <v>27248</v>
      </c>
      <c r="AE8" s="1798">
        <v>32312</v>
      </c>
      <c r="AF8" s="1798">
        <v>35659</v>
      </c>
      <c r="AG8" s="1799">
        <v>21932</v>
      </c>
      <c r="AH8" s="119">
        <f t="shared" si="10"/>
        <v>0.05014194124589327</v>
      </c>
      <c r="AI8" s="39">
        <v>32923</v>
      </c>
      <c r="AJ8" s="39">
        <v>31351</v>
      </c>
      <c r="AK8" s="39">
        <v>31554</v>
      </c>
      <c r="AL8" s="39">
        <v>31392</v>
      </c>
      <c r="AM8" s="39">
        <v>28704</v>
      </c>
      <c r="AN8" s="39">
        <v>30705</v>
      </c>
      <c r="AO8" s="67">
        <v>23647</v>
      </c>
      <c r="AP8" s="120">
        <f t="shared" si="11"/>
        <v>-0.09721450500356395</v>
      </c>
      <c r="AQ8" s="121">
        <f>+S8+AA8+AI8</f>
        <v>160852</v>
      </c>
      <c r="AR8" s="121">
        <f t="shared" si="17"/>
        <v>178173</v>
      </c>
      <c r="AS8" s="121">
        <f t="shared" si="12"/>
        <v>165525</v>
      </c>
      <c r="AT8" s="121">
        <f t="shared" si="13"/>
        <v>159443</v>
      </c>
      <c r="AU8" s="121">
        <f t="shared" si="14"/>
        <v>141819</v>
      </c>
      <c r="AV8" s="121">
        <f t="shared" si="15"/>
        <v>140345</v>
      </c>
      <c r="AW8" s="122">
        <f t="shared" si="16"/>
        <v>117383</v>
      </c>
    </row>
    <row r="9" spans="1:49" s="103" customFormat="1" ht="11.25">
      <c r="A9" s="1804" t="s">
        <v>18</v>
      </c>
      <c r="B9" s="140">
        <f t="shared" si="0"/>
        <v>-0.233743981874823</v>
      </c>
      <c r="C9" s="1796">
        <v>54113</v>
      </c>
      <c r="D9" s="1796">
        <v>70620</v>
      </c>
      <c r="E9" s="1796">
        <v>70440</v>
      </c>
      <c r="F9" s="1796">
        <v>74483</v>
      </c>
      <c r="G9" s="1796">
        <v>51885</v>
      </c>
      <c r="H9" s="1796">
        <v>45090</v>
      </c>
      <c r="I9" s="1797">
        <v>47206</v>
      </c>
      <c r="J9" s="1107">
        <f t="shared" si="1"/>
        <v>-0.004300959651622268</v>
      </c>
      <c r="K9" s="39">
        <v>37041</v>
      </c>
      <c r="L9" s="39">
        <v>37201</v>
      </c>
      <c r="M9" s="39">
        <v>32651</v>
      </c>
      <c r="N9" s="39">
        <v>41346</v>
      </c>
      <c r="O9" s="39">
        <v>28341</v>
      </c>
      <c r="P9" s="39">
        <v>24833</v>
      </c>
      <c r="Q9" s="67">
        <v>30464</v>
      </c>
      <c r="R9" s="220">
        <f t="shared" si="2"/>
        <v>-0.15458027656949944</v>
      </c>
      <c r="S9" s="180">
        <f>+C9+K9</f>
        <v>91154</v>
      </c>
      <c r="T9" s="180">
        <f t="shared" si="3"/>
        <v>107821</v>
      </c>
      <c r="U9" s="180">
        <f t="shared" si="4"/>
        <v>103091</v>
      </c>
      <c r="V9" s="180">
        <f t="shared" si="5"/>
        <v>115829</v>
      </c>
      <c r="W9" s="180">
        <f t="shared" si="6"/>
        <v>80226</v>
      </c>
      <c r="X9" s="180">
        <f t="shared" si="7"/>
        <v>69923</v>
      </c>
      <c r="Y9" s="221">
        <f t="shared" si="8"/>
        <v>77670</v>
      </c>
      <c r="Z9" s="1251">
        <f t="shared" si="9"/>
        <v>-0.1756607198193811</v>
      </c>
      <c r="AA9" s="1798">
        <v>18621</v>
      </c>
      <c r="AB9" s="1798">
        <v>22589</v>
      </c>
      <c r="AC9" s="1798">
        <v>37759</v>
      </c>
      <c r="AD9" s="1798">
        <v>34182</v>
      </c>
      <c r="AE9" s="1798">
        <v>28351</v>
      </c>
      <c r="AF9" s="1798">
        <v>26485</v>
      </c>
      <c r="AG9" s="1799">
        <v>23521</v>
      </c>
      <c r="AH9" s="119">
        <f t="shared" si="10"/>
        <v>-0.08040138365171866</v>
      </c>
      <c r="AI9" s="39">
        <v>29509</v>
      </c>
      <c r="AJ9" s="39">
        <v>32089</v>
      </c>
      <c r="AK9" s="39">
        <v>33107</v>
      </c>
      <c r="AL9" s="39">
        <v>31403</v>
      </c>
      <c r="AM9" s="39">
        <v>27111</v>
      </c>
      <c r="AN9" s="39">
        <v>25471</v>
      </c>
      <c r="AO9" s="67">
        <v>24760</v>
      </c>
      <c r="AP9" s="120">
        <f t="shared" si="11"/>
        <v>-0.14286241761487764</v>
      </c>
      <c r="AQ9" s="121">
        <f>+S9+AA9+AI9</f>
        <v>139284</v>
      </c>
      <c r="AR9" s="121">
        <f t="shared" si="17"/>
        <v>162499</v>
      </c>
      <c r="AS9" s="121">
        <f t="shared" si="12"/>
        <v>173957</v>
      </c>
      <c r="AT9" s="121">
        <f t="shared" si="13"/>
        <v>181414</v>
      </c>
      <c r="AU9" s="121">
        <f t="shared" si="14"/>
        <v>135688</v>
      </c>
      <c r="AV9" s="121">
        <f t="shared" si="15"/>
        <v>121879</v>
      </c>
      <c r="AW9" s="122">
        <f t="shared" si="16"/>
        <v>125951</v>
      </c>
    </row>
    <row r="10" spans="1:49" s="103" customFormat="1" ht="11.25">
      <c r="A10" s="1804" t="s">
        <v>19</v>
      </c>
      <c r="B10" s="140">
        <f t="shared" si="0"/>
        <v>-0.24120734908136482</v>
      </c>
      <c r="C10" s="1796">
        <v>57820</v>
      </c>
      <c r="D10" s="1796">
        <v>76200</v>
      </c>
      <c r="E10" s="1796">
        <v>66651</v>
      </c>
      <c r="F10" s="1796">
        <v>71942</v>
      </c>
      <c r="G10" s="1796">
        <v>60100</v>
      </c>
      <c r="H10" s="1796">
        <v>47733</v>
      </c>
      <c r="I10" s="1797">
        <v>44690</v>
      </c>
      <c r="J10" s="1107">
        <f t="shared" si="1"/>
        <v>-0.06265863350852455</v>
      </c>
      <c r="K10" s="39">
        <v>36561</v>
      </c>
      <c r="L10" s="39">
        <v>39005</v>
      </c>
      <c r="M10" s="39">
        <v>31169</v>
      </c>
      <c r="N10" s="39">
        <v>37217</v>
      </c>
      <c r="O10" s="39">
        <v>29356</v>
      </c>
      <c r="P10" s="39">
        <v>27191</v>
      </c>
      <c r="Q10" s="67">
        <v>28499</v>
      </c>
      <c r="R10" s="220">
        <f t="shared" si="2"/>
        <v>-0.18075604357449762</v>
      </c>
      <c r="S10" s="180">
        <f>+C10+K10</f>
        <v>94381</v>
      </c>
      <c r="T10" s="180">
        <f t="shared" si="3"/>
        <v>115205</v>
      </c>
      <c r="U10" s="180">
        <f t="shared" si="4"/>
        <v>97820</v>
      </c>
      <c r="V10" s="180">
        <f t="shared" si="5"/>
        <v>109159</v>
      </c>
      <c r="W10" s="180">
        <f t="shared" si="6"/>
        <v>89456</v>
      </c>
      <c r="X10" s="180">
        <f t="shared" si="7"/>
        <v>74924</v>
      </c>
      <c r="Y10" s="221">
        <f t="shared" si="8"/>
        <v>73189</v>
      </c>
      <c r="Z10" s="1251">
        <f t="shared" si="9"/>
        <v>-0.21774977497749776</v>
      </c>
      <c r="AA10" s="1798">
        <v>21727</v>
      </c>
      <c r="AB10" s="1798">
        <v>27775</v>
      </c>
      <c r="AC10" s="1798">
        <v>38195</v>
      </c>
      <c r="AD10" s="1798">
        <v>34672</v>
      </c>
      <c r="AE10" s="1798">
        <v>33407</v>
      </c>
      <c r="AF10" s="1798">
        <v>27733</v>
      </c>
      <c r="AG10" s="1799">
        <v>28566</v>
      </c>
      <c r="AH10" s="119">
        <f t="shared" si="10"/>
        <v>-0.05717134784776467</v>
      </c>
      <c r="AI10" s="39">
        <v>28365</v>
      </c>
      <c r="AJ10" s="39">
        <v>30085</v>
      </c>
      <c r="AK10" s="39">
        <v>32887</v>
      </c>
      <c r="AL10" s="39">
        <v>29733</v>
      </c>
      <c r="AM10" s="39">
        <v>30920</v>
      </c>
      <c r="AN10" s="39">
        <v>27776</v>
      </c>
      <c r="AO10" s="67">
        <v>21658</v>
      </c>
      <c r="AP10" s="120">
        <f t="shared" si="11"/>
        <v>-0.1652096033282293</v>
      </c>
      <c r="AQ10" s="121">
        <f>+S10+AA10+AI10</f>
        <v>144473</v>
      </c>
      <c r="AR10" s="121">
        <f t="shared" si="17"/>
        <v>173065</v>
      </c>
      <c r="AS10" s="121">
        <f t="shared" si="12"/>
        <v>168902</v>
      </c>
      <c r="AT10" s="121">
        <f t="shared" si="13"/>
        <v>173564</v>
      </c>
      <c r="AU10" s="121">
        <f t="shared" si="14"/>
        <v>153783</v>
      </c>
      <c r="AV10" s="121">
        <f t="shared" si="15"/>
        <v>130433</v>
      </c>
      <c r="AW10" s="122">
        <f t="shared" si="16"/>
        <v>123413</v>
      </c>
    </row>
    <row r="11" spans="1:49" s="103" customFormat="1" ht="11.25">
      <c r="A11" s="1804" t="s">
        <v>20</v>
      </c>
      <c r="B11" s="140"/>
      <c r="C11" s="1796"/>
      <c r="D11" s="1796">
        <v>74549</v>
      </c>
      <c r="E11" s="1796">
        <v>77248</v>
      </c>
      <c r="F11" s="1796">
        <v>83732</v>
      </c>
      <c r="G11" s="1796">
        <v>56745</v>
      </c>
      <c r="H11" s="1796">
        <v>47639</v>
      </c>
      <c r="I11" s="1797">
        <v>50858</v>
      </c>
      <c r="J11" s="1107"/>
      <c r="K11" s="39"/>
      <c r="L11" s="39">
        <v>41876</v>
      </c>
      <c r="M11" s="39">
        <v>39336</v>
      </c>
      <c r="N11" s="39">
        <v>41599</v>
      </c>
      <c r="O11" s="39">
        <v>29269</v>
      </c>
      <c r="P11" s="39">
        <v>27078</v>
      </c>
      <c r="Q11" s="67">
        <v>29540</v>
      </c>
      <c r="R11" s="220"/>
      <c r="S11" s="180"/>
      <c r="T11" s="180">
        <f t="shared" si="3"/>
        <v>116425</v>
      </c>
      <c r="U11" s="180">
        <f t="shared" si="4"/>
        <v>116584</v>
      </c>
      <c r="V11" s="180">
        <f t="shared" si="5"/>
        <v>125331</v>
      </c>
      <c r="W11" s="180">
        <f t="shared" si="6"/>
        <v>86014</v>
      </c>
      <c r="X11" s="180">
        <f t="shared" si="7"/>
        <v>74717</v>
      </c>
      <c r="Y11" s="221">
        <f t="shared" si="8"/>
        <v>80398</v>
      </c>
      <c r="Z11" s="1251"/>
      <c r="AA11" s="1798"/>
      <c r="AB11" s="1798">
        <v>32589</v>
      </c>
      <c r="AC11" s="1798">
        <v>39091</v>
      </c>
      <c r="AD11" s="1798">
        <v>46303</v>
      </c>
      <c r="AE11" s="1798">
        <v>38227</v>
      </c>
      <c r="AF11" s="1798">
        <v>26477</v>
      </c>
      <c r="AG11" s="1799">
        <v>31376</v>
      </c>
      <c r="AH11" s="119"/>
      <c r="AI11" s="39"/>
      <c r="AJ11" s="39">
        <v>39008</v>
      </c>
      <c r="AK11" s="39">
        <v>32542</v>
      </c>
      <c r="AL11" s="39">
        <v>32044</v>
      </c>
      <c r="AM11" s="39">
        <v>29117</v>
      </c>
      <c r="AN11" s="39">
        <v>30622</v>
      </c>
      <c r="AO11" s="67">
        <v>24438</v>
      </c>
      <c r="AP11" s="120"/>
      <c r="AQ11" s="121"/>
      <c r="AR11" s="121">
        <f t="shared" si="17"/>
        <v>188022</v>
      </c>
      <c r="AS11" s="121">
        <f t="shared" si="12"/>
        <v>188217</v>
      </c>
      <c r="AT11" s="121">
        <f t="shared" si="13"/>
        <v>203678</v>
      </c>
      <c r="AU11" s="121">
        <f t="shared" si="14"/>
        <v>153358</v>
      </c>
      <c r="AV11" s="121">
        <f t="shared" si="15"/>
        <v>131816</v>
      </c>
      <c r="AW11" s="122">
        <f t="shared" si="16"/>
        <v>136212</v>
      </c>
    </row>
    <row r="12" spans="1:49" s="103" customFormat="1" ht="11.25">
      <c r="A12" s="1804" t="s">
        <v>21</v>
      </c>
      <c r="B12" s="140"/>
      <c r="C12" s="1796"/>
      <c r="D12" s="1796">
        <v>71099</v>
      </c>
      <c r="E12" s="1796">
        <v>72425</v>
      </c>
      <c r="F12" s="1796">
        <v>81207</v>
      </c>
      <c r="G12" s="1796">
        <v>68658</v>
      </c>
      <c r="H12" s="1796">
        <v>45870</v>
      </c>
      <c r="I12" s="1797">
        <v>43897</v>
      </c>
      <c r="J12" s="1107"/>
      <c r="K12" s="39"/>
      <c r="L12" s="39">
        <v>41426</v>
      </c>
      <c r="M12" s="39">
        <v>35307</v>
      </c>
      <c r="N12" s="39">
        <v>36094</v>
      </c>
      <c r="O12" s="39">
        <v>30882</v>
      </c>
      <c r="P12" s="39">
        <v>27247</v>
      </c>
      <c r="Q12" s="67">
        <v>23614</v>
      </c>
      <c r="R12" s="220"/>
      <c r="S12" s="180"/>
      <c r="T12" s="180">
        <f t="shared" si="3"/>
        <v>112525</v>
      </c>
      <c r="U12" s="180">
        <f t="shared" si="4"/>
        <v>107732</v>
      </c>
      <c r="V12" s="180">
        <f t="shared" si="5"/>
        <v>117301</v>
      </c>
      <c r="W12" s="180">
        <f t="shared" si="6"/>
        <v>99540</v>
      </c>
      <c r="X12" s="180">
        <f t="shared" si="7"/>
        <v>73117</v>
      </c>
      <c r="Y12" s="221">
        <f t="shared" si="8"/>
        <v>67511</v>
      </c>
      <c r="Z12" s="1251"/>
      <c r="AA12" s="1798"/>
      <c r="AB12" s="1798">
        <v>28473</v>
      </c>
      <c r="AC12" s="1798">
        <v>35506</v>
      </c>
      <c r="AD12" s="1798">
        <v>40624</v>
      </c>
      <c r="AE12" s="1798">
        <v>36901</v>
      </c>
      <c r="AF12" s="1798">
        <v>23718</v>
      </c>
      <c r="AG12" s="1799">
        <v>22494</v>
      </c>
      <c r="AH12" s="119"/>
      <c r="AI12" s="39"/>
      <c r="AJ12" s="39">
        <v>27640</v>
      </c>
      <c r="AK12" s="39">
        <v>30490</v>
      </c>
      <c r="AL12" s="39">
        <v>29757</v>
      </c>
      <c r="AM12" s="39">
        <v>24995</v>
      </c>
      <c r="AN12" s="39">
        <v>24372</v>
      </c>
      <c r="AO12" s="67">
        <v>21609</v>
      </c>
      <c r="AP12" s="120"/>
      <c r="AQ12" s="121"/>
      <c r="AR12" s="121">
        <f t="shared" si="17"/>
        <v>168638</v>
      </c>
      <c r="AS12" s="121">
        <f t="shared" si="12"/>
        <v>173728</v>
      </c>
      <c r="AT12" s="121">
        <f t="shared" si="13"/>
        <v>187682</v>
      </c>
      <c r="AU12" s="121">
        <f t="shared" si="14"/>
        <v>161436</v>
      </c>
      <c r="AV12" s="121">
        <f t="shared" si="15"/>
        <v>121207</v>
      </c>
      <c r="AW12" s="122">
        <f t="shared" si="16"/>
        <v>111614</v>
      </c>
    </row>
    <row r="13" spans="1:49" s="103" customFormat="1" ht="11.25">
      <c r="A13" s="1804" t="s">
        <v>22</v>
      </c>
      <c r="B13" s="140"/>
      <c r="C13" s="1796"/>
      <c r="D13" s="1796">
        <v>71299</v>
      </c>
      <c r="E13" s="1796">
        <v>73340</v>
      </c>
      <c r="F13" s="1796">
        <v>82719</v>
      </c>
      <c r="G13" s="1796">
        <v>78173</v>
      </c>
      <c r="H13" s="1796">
        <v>51746</v>
      </c>
      <c r="I13" s="1797">
        <v>50676</v>
      </c>
      <c r="J13" s="1107"/>
      <c r="K13" s="39"/>
      <c r="L13" s="39">
        <v>51233</v>
      </c>
      <c r="M13" s="39">
        <v>41279</v>
      </c>
      <c r="N13" s="39">
        <v>42464</v>
      </c>
      <c r="O13" s="39">
        <v>36942</v>
      </c>
      <c r="P13" s="39">
        <v>31323</v>
      </c>
      <c r="Q13" s="67">
        <v>22337</v>
      </c>
      <c r="R13" s="220"/>
      <c r="S13" s="180"/>
      <c r="T13" s="180">
        <f t="shared" si="3"/>
        <v>122532</v>
      </c>
      <c r="U13" s="180">
        <f t="shared" si="4"/>
        <v>114619</v>
      </c>
      <c r="V13" s="180">
        <f t="shared" si="5"/>
        <v>125183</v>
      </c>
      <c r="W13" s="180">
        <f t="shared" si="6"/>
        <v>115115</v>
      </c>
      <c r="X13" s="180">
        <f t="shared" si="7"/>
        <v>83069</v>
      </c>
      <c r="Y13" s="221">
        <f t="shared" si="8"/>
        <v>73013</v>
      </c>
      <c r="Z13" s="1251"/>
      <c r="AA13" s="1798"/>
      <c r="AB13" s="1798">
        <v>28145</v>
      </c>
      <c r="AC13" s="1798">
        <v>35839</v>
      </c>
      <c r="AD13" s="1798">
        <v>43527</v>
      </c>
      <c r="AE13" s="1798">
        <v>47204</v>
      </c>
      <c r="AF13" s="1798">
        <v>26196</v>
      </c>
      <c r="AG13" s="1799">
        <v>23230</v>
      </c>
      <c r="AH13" s="119"/>
      <c r="AI13" s="39"/>
      <c r="AJ13" s="39">
        <v>26672</v>
      </c>
      <c r="AK13" s="39">
        <v>29121</v>
      </c>
      <c r="AL13" s="39">
        <v>27209</v>
      </c>
      <c r="AM13" s="39">
        <v>29599</v>
      </c>
      <c r="AN13" s="39">
        <v>26176</v>
      </c>
      <c r="AO13" s="67">
        <v>23625</v>
      </c>
      <c r="AP13" s="120"/>
      <c r="AQ13" s="121"/>
      <c r="AR13" s="121">
        <f t="shared" si="17"/>
        <v>177349</v>
      </c>
      <c r="AS13" s="121">
        <f t="shared" si="12"/>
        <v>179579</v>
      </c>
      <c r="AT13" s="121">
        <f t="shared" si="13"/>
        <v>195919</v>
      </c>
      <c r="AU13" s="121">
        <f t="shared" si="14"/>
        <v>191918</v>
      </c>
      <c r="AV13" s="121">
        <f t="shared" si="15"/>
        <v>135441</v>
      </c>
      <c r="AW13" s="122">
        <f t="shared" si="16"/>
        <v>119868</v>
      </c>
    </row>
    <row r="14" spans="1:49" s="103" customFormat="1" ht="11.25">
      <c r="A14" s="1804" t="s">
        <v>23</v>
      </c>
      <c r="B14" s="140"/>
      <c r="C14" s="1796"/>
      <c r="D14" s="1796">
        <v>68120</v>
      </c>
      <c r="E14" s="1796">
        <v>67805</v>
      </c>
      <c r="F14" s="1796">
        <v>66232</v>
      </c>
      <c r="G14" s="1796">
        <v>73588</v>
      </c>
      <c r="H14" s="1796">
        <v>41770</v>
      </c>
      <c r="I14" s="1797">
        <v>52948</v>
      </c>
      <c r="J14" s="1107"/>
      <c r="K14" s="39"/>
      <c r="L14" s="39">
        <v>48136</v>
      </c>
      <c r="M14" s="39">
        <v>38123</v>
      </c>
      <c r="N14" s="39">
        <v>38548</v>
      </c>
      <c r="O14" s="39">
        <v>40880</v>
      </c>
      <c r="P14" s="39">
        <v>35676</v>
      </c>
      <c r="Q14" s="67">
        <v>35721</v>
      </c>
      <c r="R14" s="220"/>
      <c r="S14" s="180"/>
      <c r="T14" s="180">
        <f t="shared" si="3"/>
        <v>116256</v>
      </c>
      <c r="U14" s="180">
        <f t="shared" si="4"/>
        <v>105928</v>
      </c>
      <c r="V14" s="180">
        <f t="shared" si="5"/>
        <v>104780</v>
      </c>
      <c r="W14" s="180">
        <f t="shared" si="6"/>
        <v>114468</v>
      </c>
      <c r="X14" s="180">
        <f t="shared" si="7"/>
        <v>77446</v>
      </c>
      <c r="Y14" s="221">
        <f t="shared" si="8"/>
        <v>88669</v>
      </c>
      <c r="Z14" s="1251"/>
      <c r="AA14" s="1798"/>
      <c r="AB14" s="1798">
        <v>26018</v>
      </c>
      <c r="AC14" s="1798">
        <v>40043</v>
      </c>
      <c r="AD14" s="1798">
        <v>37322</v>
      </c>
      <c r="AE14" s="1798">
        <v>40203</v>
      </c>
      <c r="AF14" s="1798">
        <v>21837</v>
      </c>
      <c r="AG14" s="1799">
        <v>26840</v>
      </c>
      <c r="AH14" s="119"/>
      <c r="AI14" s="39"/>
      <c r="AJ14" s="39">
        <v>27335</v>
      </c>
      <c r="AK14" s="39">
        <v>26385</v>
      </c>
      <c r="AL14" s="39">
        <v>25838</v>
      </c>
      <c r="AM14" s="39">
        <v>23144</v>
      </c>
      <c r="AN14" s="39">
        <v>26047</v>
      </c>
      <c r="AO14" s="67">
        <v>20949</v>
      </c>
      <c r="AP14" s="120"/>
      <c r="AQ14" s="121"/>
      <c r="AR14" s="121">
        <f t="shared" si="17"/>
        <v>169609</v>
      </c>
      <c r="AS14" s="121">
        <f t="shared" si="12"/>
        <v>172356</v>
      </c>
      <c r="AT14" s="121">
        <f t="shared" si="13"/>
        <v>167940</v>
      </c>
      <c r="AU14" s="121">
        <f t="shared" si="14"/>
        <v>177815</v>
      </c>
      <c r="AV14" s="121">
        <f t="shared" si="15"/>
        <v>125330</v>
      </c>
      <c r="AW14" s="122">
        <f t="shared" si="16"/>
        <v>136458</v>
      </c>
    </row>
    <row r="15" spans="1:49" s="103" customFormat="1" ht="12" thickBot="1">
      <c r="A15" s="1804" t="s">
        <v>24</v>
      </c>
      <c r="B15" s="515"/>
      <c r="C15" s="1800"/>
      <c r="D15" s="1800">
        <v>60193</v>
      </c>
      <c r="E15" s="1800">
        <v>58108</v>
      </c>
      <c r="F15" s="1800">
        <v>60863</v>
      </c>
      <c r="G15" s="1800">
        <v>70535</v>
      </c>
      <c r="H15" s="1800">
        <v>41330</v>
      </c>
      <c r="I15" s="1801">
        <v>54721</v>
      </c>
      <c r="J15" s="1108"/>
      <c r="K15" s="47"/>
      <c r="L15" s="47">
        <v>46822</v>
      </c>
      <c r="M15" s="47">
        <v>36373</v>
      </c>
      <c r="N15" s="47">
        <v>41501</v>
      </c>
      <c r="O15" s="47">
        <v>39587</v>
      </c>
      <c r="P15" s="47">
        <v>30535</v>
      </c>
      <c r="Q15" s="68">
        <v>34156</v>
      </c>
      <c r="R15" s="397"/>
      <c r="S15" s="398"/>
      <c r="T15" s="398">
        <f t="shared" si="3"/>
        <v>107015</v>
      </c>
      <c r="U15" s="398">
        <f t="shared" si="4"/>
        <v>94481</v>
      </c>
      <c r="V15" s="398">
        <f t="shared" si="5"/>
        <v>102364</v>
      </c>
      <c r="W15" s="398">
        <f t="shared" si="6"/>
        <v>110122</v>
      </c>
      <c r="X15" s="398">
        <f t="shared" si="7"/>
        <v>71865</v>
      </c>
      <c r="Y15" s="1253">
        <f t="shared" si="8"/>
        <v>88877</v>
      </c>
      <c r="Z15" s="1252"/>
      <c r="AA15" s="1802"/>
      <c r="AB15" s="1802">
        <v>24542</v>
      </c>
      <c r="AC15" s="1802">
        <v>27070</v>
      </c>
      <c r="AD15" s="1802">
        <v>35952</v>
      </c>
      <c r="AE15" s="1802">
        <v>39820</v>
      </c>
      <c r="AF15" s="1802">
        <v>18373</v>
      </c>
      <c r="AG15" s="1109">
        <f>SUM(AG3:AG5)</f>
        <v>36938</v>
      </c>
      <c r="AH15" s="495"/>
      <c r="AI15" s="47"/>
      <c r="AJ15" s="47">
        <v>23339</v>
      </c>
      <c r="AK15" s="47">
        <v>24522</v>
      </c>
      <c r="AL15" s="47">
        <v>25542</v>
      </c>
      <c r="AM15" s="47">
        <v>20785</v>
      </c>
      <c r="AN15" s="47">
        <v>20010</v>
      </c>
      <c r="AO15" s="68">
        <v>21166</v>
      </c>
      <c r="AP15" s="521"/>
      <c r="AQ15" s="124"/>
      <c r="AR15" s="124">
        <f t="shared" si="17"/>
        <v>154896</v>
      </c>
      <c r="AS15" s="124">
        <f t="shared" si="12"/>
        <v>146073</v>
      </c>
      <c r="AT15" s="124">
        <f t="shared" si="13"/>
        <v>163858</v>
      </c>
      <c r="AU15" s="124">
        <f t="shared" si="14"/>
        <v>170727</v>
      </c>
      <c r="AV15" s="124">
        <f t="shared" si="15"/>
        <v>110248</v>
      </c>
      <c r="AW15" s="125">
        <f t="shared" si="16"/>
        <v>146981</v>
      </c>
    </row>
    <row r="16" spans="1:49" s="144" customFormat="1" ht="11.25">
      <c r="A16" s="292" t="s">
        <v>25</v>
      </c>
      <c r="B16" s="588">
        <f>SUM(C16-D16)/D16</f>
        <v>-0.12958492496662674</v>
      </c>
      <c r="C16" s="332">
        <f>SUM(C4:C10)</f>
        <v>404911</v>
      </c>
      <c r="D16" s="332">
        <f aca="true" t="shared" si="18" ref="D16:I16">SUM(D4:D10)</f>
        <v>465193</v>
      </c>
      <c r="E16" s="332">
        <f t="shared" si="18"/>
        <v>450212</v>
      </c>
      <c r="F16" s="332">
        <f t="shared" si="18"/>
        <v>471558</v>
      </c>
      <c r="G16" s="332">
        <f t="shared" si="18"/>
        <v>356965</v>
      </c>
      <c r="H16" s="332">
        <f t="shared" si="18"/>
        <v>314508</v>
      </c>
      <c r="I16" s="332">
        <f t="shared" si="18"/>
        <v>284403</v>
      </c>
      <c r="J16" s="588">
        <f>SUM(K16-L16)/L16</f>
        <v>0.01624367703748008</v>
      </c>
      <c r="K16" s="332">
        <f>SUM(K4:K10)</f>
        <v>278653</v>
      </c>
      <c r="L16" s="332">
        <f aca="true" t="shared" si="19" ref="L16:Q16">SUM(L4:L10)</f>
        <v>274199</v>
      </c>
      <c r="M16" s="332">
        <f t="shared" si="19"/>
        <v>248389</v>
      </c>
      <c r="N16" s="332">
        <f t="shared" si="19"/>
        <v>284790</v>
      </c>
      <c r="O16" s="332">
        <f t="shared" si="19"/>
        <v>209943</v>
      </c>
      <c r="P16" s="332">
        <f t="shared" si="19"/>
        <v>196914</v>
      </c>
      <c r="Q16" s="332">
        <f t="shared" si="19"/>
        <v>213156</v>
      </c>
      <c r="R16" s="588">
        <f>SUM(S16-T16)/T16</f>
        <v>-0.07550528001384922</v>
      </c>
      <c r="S16" s="332">
        <f>+C16+K16</f>
        <v>683564</v>
      </c>
      <c r="T16" s="332">
        <f>+D16+L16</f>
        <v>739392</v>
      </c>
      <c r="U16" s="332">
        <f>+C16+M16</f>
        <v>653300</v>
      </c>
      <c r="V16" s="332">
        <f>+E16+N16</f>
        <v>735002</v>
      </c>
      <c r="W16" s="332">
        <f>+F16+O16</f>
        <v>681501</v>
      </c>
      <c r="X16" s="332">
        <f>+G16+P16</f>
        <v>553879</v>
      </c>
      <c r="Y16" s="332">
        <f>+H16+Q16</f>
        <v>527664</v>
      </c>
      <c r="Z16" s="588">
        <f>SUM(AA16-AB16)/AB16</f>
        <v>-0.1776795124410026</v>
      </c>
      <c r="AA16" s="332">
        <f>SUM(AA4:AA10)</f>
        <v>143564</v>
      </c>
      <c r="AB16" s="332">
        <f aca="true" t="shared" si="20" ref="AB16:AG16">SUM(AB4:AB10)</f>
        <v>174584</v>
      </c>
      <c r="AC16" s="332">
        <f t="shared" si="20"/>
        <v>220769</v>
      </c>
      <c r="AD16" s="332">
        <f t="shared" si="20"/>
        <v>210762</v>
      </c>
      <c r="AE16" s="332">
        <f t="shared" si="20"/>
        <v>171729</v>
      </c>
      <c r="AF16" s="332">
        <f t="shared" si="20"/>
        <v>176461</v>
      </c>
      <c r="AG16" s="332">
        <f t="shared" si="20"/>
        <v>144534</v>
      </c>
      <c r="AH16" s="588">
        <f>SUM(AI16-AJ16)/AJ16</f>
        <v>-0.012750292266746262</v>
      </c>
      <c r="AI16" s="332">
        <f>SUM(AI4:AI10)</f>
        <v>198452</v>
      </c>
      <c r="AJ16" s="332">
        <f aca="true" t="shared" si="21" ref="AJ16:AO16">SUM(AJ4:AJ10)</f>
        <v>201015</v>
      </c>
      <c r="AK16" s="332">
        <f t="shared" si="21"/>
        <v>208037</v>
      </c>
      <c r="AL16" s="332">
        <f t="shared" si="21"/>
        <v>201740</v>
      </c>
      <c r="AM16" s="332">
        <f t="shared" si="21"/>
        <v>181967</v>
      </c>
      <c r="AN16" s="332">
        <f t="shared" si="21"/>
        <v>174459</v>
      </c>
      <c r="AO16" s="332">
        <f t="shared" si="21"/>
        <v>153837</v>
      </c>
      <c r="AP16" s="588">
        <f>SUM(AQ16-AR16)/AR16</f>
        <v>-0.08018988494077531</v>
      </c>
      <c r="AQ16" s="332">
        <f aca="true" t="shared" si="22" ref="AQ16:AW16">+S16+AA16+AI16</f>
        <v>1025580</v>
      </c>
      <c r="AR16" s="332">
        <f t="shared" si="22"/>
        <v>1114991</v>
      </c>
      <c r="AS16" s="332">
        <f t="shared" si="22"/>
        <v>1082106</v>
      </c>
      <c r="AT16" s="332">
        <f t="shared" si="22"/>
        <v>1147504</v>
      </c>
      <c r="AU16" s="332">
        <f t="shared" si="22"/>
        <v>1035197</v>
      </c>
      <c r="AV16" s="332">
        <f t="shared" si="22"/>
        <v>904799</v>
      </c>
      <c r="AW16" s="589">
        <f t="shared" si="22"/>
        <v>826035</v>
      </c>
    </row>
    <row r="17" spans="1:49" s="144" customFormat="1" ht="12" thickBot="1">
      <c r="A17" s="293" t="s">
        <v>26</v>
      </c>
      <c r="B17" s="313">
        <f>SUM(C17-D17)/D17</f>
        <v>-0.143524494502281</v>
      </c>
      <c r="C17" s="102">
        <f aca="true" t="shared" si="23" ref="C17:I17">AVERAGE(C4:C15)</f>
        <v>57844.42857142857</v>
      </c>
      <c r="D17" s="102">
        <f>AVERAGE(D4:D15)</f>
        <v>67537.75</v>
      </c>
      <c r="E17" s="102">
        <f t="shared" si="23"/>
        <v>66594.83333333333</v>
      </c>
      <c r="F17" s="102">
        <f t="shared" si="23"/>
        <v>70525.91666666667</v>
      </c>
      <c r="G17" s="102">
        <f t="shared" si="23"/>
        <v>58722</v>
      </c>
      <c r="H17" s="102">
        <f t="shared" si="23"/>
        <v>45238.583333333336</v>
      </c>
      <c r="I17" s="312">
        <f t="shared" si="23"/>
        <v>44791.916666666664</v>
      </c>
      <c r="J17" s="313">
        <f>SUM(K17-L17)/L17</f>
        <v>-0.05162111539818559</v>
      </c>
      <c r="K17" s="102">
        <f aca="true" t="shared" si="24" ref="K17:Q17">AVERAGE(K4:K15)</f>
        <v>39807.57142857143</v>
      </c>
      <c r="L17" s="102">
        <f>AVERAGE(L4:L15)</f>
        <v>41974.333333333336</v>
      </c>
      <c r="M17" s="102">
        <f t="shared" si="24"/>
        <v>36567.25</v>
      </c>
      <c r="N17" s="102">
        <f t="shared" si="24"/>
        <v>40416.333333333336</v>
      </c>
      <c r="O17" s="102">
        <f t="shared" si="24"/>
        <v>32291.916666666668</v>
      </c>
      <c r="P17" s="102">
        <f t="shared" si="24"/>
        <v>29064.416666666668</v>
      </c>
      <c r="Q17" s="312">
        <f t="shared" si="24"/>
        <v>29877</v>
      </c>
      <c r="R17" s="313">
        <f>SUM(S17-T17)/T17</f>
        <v>-0.10829931248073839</v>
      </c>
      <c r="S17" s="384">
        <f aca="true" t="shared" si="25" ref="S17:Y17">AVERAGE(S4:S15)</f>
        <v>97652</v>
      </c>
      <c r="T17" s="384">
        <f>AVERAGE(T4:T15)</f>
        <v>109512.08333333333</v>
      </c>
      <c r="U17" s="384">
        <f t="shared" si="25"/>
        <v>103162.08333333333</v>
      </c>
      <c r="V17" s="102">
        <f t="shared" si="25"/>
        <v>110942.25</v>
      </c>
      <c r="W17" s="102">
        <f t="shared" si="25"/>
        <v>91013.91666666667</v>
      </c>
      <c r="X17" s="102">
        <f t="shared" si="25"/>
        <v>74303</v>
      </c>
      <c r="Y17" s="312">
        <f t="shared" si="25"/>
        <v>74668.91666666667</v>
      </c>
      <c r="Z17" s="313">
        <f>SUM(AA17-AB17)/AB17</f>
        <v>-0.21708626889777893</v>
      </c>
      <c r="AA17" s="102">
        <f aca="true" t="shared" si="26" ref="AA17:AG17">AVERAGE(AA4:AA15)</f>
        <v>20509.14285714286</v>
      </c>
      <c r="AB17" s="102">
        <f>AVERAGE(AB4:AB15)</f>
        <v>26195.916666666668</v>
      </c>
      <c r="AC17" s="102">
        <f t="shared" si="26"/>
        <v>33193.166666666664</v>
      </c>
      <c r="AD17" s="102">
        <f t="shared" si="26"/>
        <v>34540.833333333336</v>
      </c>
      <c r="AE17" s="102">
        <f t="shared" si="26"/>
        <v>31173.666666666668</v>
      </c>
      <c r="AF17" s="102">
        <f t="shared" si="26"/>
        <v>24421.833333333332</v>
      </c>
      <c r="AG17" s="312">
        <f t="shared" si="26"/>
        <v>23784.333333333332</v>
      </c>
      <c r="AH17" s="313">
        <f>SUM(AI17-AJ17)/AJ17</f>
        <v>-0.0139288291858225</v>
      </c>
      <c r="AI17" s="102">
        <f aca="true" t="shared" si="27" ref="AI17:AO17">AVERAGE(AI4:AI15)</f>
        <v>28350.285714285714</v>
      </c>
      <c r="AJ17" s="102">
        <f>AVERAGE(AJ4:AJ15)</f>
        <v>28750.75</v>
      </c>
      <c r="AK17" s="102">
        <f t="shared" si="27"/>
        <v>29258.083333333332</v>
      </c>
      <c r="AL17" s="102">
        <f t="shared" si="27"/>
        <v>28510.833333333332</v>
      </c>
      <c r="AM17" s="102">
        <f t="shared" si="27"/>
        <v>25800.583333333332</v>
      </c>
      <c r="AN17" s="102">
        <f t="shared" si="27"/>
        <v>25140.5</v>
      </c>
      <c r="AO17" s="312">
        <f t="shared" si="27"/>
        <v>22135.333333333332</v>
      </c>
      <c r="AP17" s="313">
        <f>SUM(AQ17-AR17)/AR17</f>
        <v>-0.10912962325550583</v>
      </c>
      <c r="AQ17" s="102">
        <f aca="true" t="shared" si="28" ref="AQ17:AW17">AVERAGE(AQ4:AQ15)</f>
        <v>146511.42857142858</v>
      </c>
      <c r="AR17" s="102">
        <f>AVERAGE(AR4:AR15)</f>
        <v>164458.75</v>
      </c>
      <c r="AS17" s="102">
        <f t="shared" si="28"/>
        <v>165613.33333333334</v>
      </c>
      <c r="AT17" s="102">
        <f t="shared" si="28"/>
        <v>173993.91666666666</v>
      </c>
      <c r="AU17" s="102">
        <f t="shared" si="28"/>
        <v>147988.16666666666</v>
      </c>
      <c r="AV17" s="102">
        <f t="shared" si="28"/>
        <v>123865.33333333333</v>
      </c>
      <c r="AW17" s="312">
        <f t="shared" si="28"/>
        <v>120588.58333333333</v>
      </c>
    </row>
    <row r="18" spans="7:49" ht="11.25"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7:49" ht="11.25"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7:49" ht="11.25"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7:49" ht="11.25"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7:49" ht="11.25"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7:49" ht="11.25"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43:44" ht="11.25">
      <c r="AQ24" s="115">
        <v>1973505</v>
      </c>
      <c r="AR24" s="115">
        <v>1973505</v>
      </c>
    </row>
  </sheetData>
  <mergeCells count="9">
    <mergeCell ref="AH3:AO3"/>
    <mergeCell ref="B3:I3"/>
    <mergeCell ref="J3:Q3"/>
    <mergeCell ref="R3:Y3"/>
    <mergeCell ref="Z3:AG3"/>
    <mergeCell ref="A1:A2"/>
    <mergeCell ref="B1:AG1"/>
    <mergeCell ref="AH1:AO1"/>
    <mergeCell ref="AP1:AW1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J18"/>
  <sheetViews>
    <sheetView workbookViewId="0" topLeftCell="A1">
      <pane xSplit="1" ySplit="4" topLeftCell="A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11" sqref="AI11:AJ11"/>
    </sheetView>
  </sheetViews>
  <sheetFormatPr defaultColWidth="9.140625" defaultRowHeight="12.75"/>
  <cols>
    <col min="1" max="1" width="12.28125" style="1504" bestFit="1" customWidth="1"/>
    <col min="2" max="2" width="7.00390625" style="1504" customWidth="1"/>
    <col min="3" max="3" width="6.8515625" style="1504" bestFit="1" customWidth="1"/>
    <col min="4" max="4" width="6.57421875" style="1504" customWidth="1"/>
    <col min="5" max="5" width="6.57421875" style="1504" bestFit="1" customWidth="1"/>
    <col min="6" max="6" width="6.57421875" style="1504" customWidth="1"/>
    <col min="7" max="7" width="6.8515625" style="1504" bestFit="1" customWidth="1"/>
    <col min="8" max="9" width="6.57421875" style="1504" bestFit="1" customWidth="1"/>
    <col min="10" max="10" width="7.00390625" style="1504" bestFit="1" customWidth="1"/>
    <col min="11" max="11" width="6.8515625" style="1504" bestFit="1" customWidth="1"/>
    <col min="12" max="16" width="6.57421875" style="1504" bestFit="1" customWidth="1"/>
    <col min="17" max="17" width="6.57421875" style="1504" customWidth="1"/>
    <col min="18" max="18" width="7.00390625" style="1504" bestFit="1" customWidth="1"/>
    <col min="19" max="19" width="6.57421875" style="1504" bestFit="1" customWidth="1"/>
    <col min="20" max="20" width="6.57421875" style="1504" customWidth="1"/>
    <col min="21" max="25" width="6.57421875" style="1504" bestFit="1" customWidth="1"/>
    <col min="26" max="26" width="7.00390625" style="1504" bestFit="1" customWidth="1"/>
    <col min="27" max="27" width="6.8515625" style="1504" bestFit="1" customWidth="1"/>
    <col min="28" max="28" width="6.57421875" style="1504" customWidth="1"/>
    <col min="29" max="30" width="6.57421875" style="1504" bestFit="1" customWidth="1"/>
    <col min="31" max="32" width="6.57421875" style="1504" customWidth="1"/>
    <col min="33" max="33" width="6.57421875" style="1504" bestFit="1" customWidth="1"/>
    <col min="34" max="34" width="7.00390625" style="1504" bestFit="1" customWidth="1"/>
    <col min="35" max="35" width="6.8515625" style="1504" customWidth="1"/>
    <col min="36" max="40" width="6.57421875" style="1504" customWidth="1"/>
    <col min="41" max="41" width="6.57421875" style="1504" bestFit="1" customWidth="1"/>
    <col min="42" max="42" width="7.00390625" style="1504" bestFit="1" customWidth="1"/>
    <col min="43" max="46" width="7.8515625" style="1504" bestFit="1" customWidth="1"/>
    <col min="47" max="49" width="6.57421875" style="1504" customWidth="1"/>
    <col min="50" max="109" width="9.140625" style="1504" customWidth="1"/>
    <col min="110" max="110" width="7.00390625" style="1504" bestFit="1" customWidth="1"/>
    <col min="111" max="111" width="6.57421875" style="1504" bestFit="1" customWidth="1"/>
    <col min="112" max="114" width="7.8515625" style="1504" bestFit="1" customWidth="1"/>
    <col min="115" max="16384" width="9.140625" style="1504" customWidth="1"/>
  </cols>
  <sheetData>
    <row r="1" spans="1:114" s="1715" customFormat="1" ht="12" thickBot="1">
      <c r="A1" s="2095" t="s">
        <v>72</v>
      </c>
      <c r="B1" s="2098" t="s">
        <v>67</v>
      </c>
      <c r="C1" s="2099"/>
      <c r="D1" s="2099"/>
      <c r="E1" s="2099"/>
      <c r="F1" s="2099"/>
      <c r="G1" s="2100"/>
      <c r="H1" s="2100"/>
      <c r="I1" s="2100"/>
      <c r="J1" s="2100"/>
      <c r="K1" s="2100"/>
      <c r="L1" s="2100"/>
      <c r="M1" s="2100"/>
      <c r="N1" s="2100"/>
      <c r="O1" s="2100"/>
      <c r="P1" s="2100"/>
      <c r="Q1" s="2100"/>
      <c r="R1" s="2100"/>
      <c r="S1" s="2100"/>
      <c r="T1" s="2100"/>
      <c r="U1" s="2100"/>
      <c r="V1" s="2100"/>
      <c r="W1" s="2100"/>
      <c r="X1" s="2100"/>
      <c r="Y1" s="2100"/>
      <c r="Z1" s="2100"/>
      <c r="AA1" s="2100"/>
      <c r="AB1" s="2100"/>
      <c r="AC1" s="2100"/>
      <c r="AD1" s="2100"/>
      <c r="AE1" s="2100"/>
      <c r="AF1" s="2100"/>
      <c r="AG1" s="2101"/>
      <c r="AH1" s="2102" t="s">
        <v>65</v>
      </c>
      <c r="AI1" s="2103"/>
      <c r="AJ1" s="2103"/>
      <c r="AK1" s="2103"/>
      <c r="AL1" s="2103"/>
      <c r="AM1" s="2100"/>
      <c r="AN1" s="2100"/>
      <c r="AO1" s="2100"/>
      <c r="AP1" s="2104" t="s">
        <v>66</v>
      </c>
      <c r="AQ1" s="2105"/>
      <c r="AR1" s="2105"/>
      <c r="AS1" s="2105"/>
      <c r="AT1" s="2105"/>
      <c r="AU1" s="2100"/>
      <c r="AV1" s="2100"/>
      <c r="AW1" s="2106"/>
      <c r="AX1" s="1497"/>
      <c r="AY1" s="1497"/>
      <c r="AZ1" s="1497"/>
      <c r="BA1" s="1497"/>
      <c r="BB1" s="1497"/>
      <c r="BC1" s="1497"/>
      <c r="BD1" s="1497"/>
      <c r="BE1" s="1497"/>
      <c r="BF1" s="1497"/>
      <c r="BG1" s="1497"/>
      <c r="BH1" s="1497"/>
      <c r="BI1" s="1497"/>
      <c r="BJ1" s="1497"/>
      <c r="BK1" s="1497"/>
      <c r="BL1" s="1497"/>
      <c r="BM1" s="1497"/>
      <c r="BN1" s="1497"/>
      <c r="BO1" s="1497"/>
      <c r="BP1" s="1497"/>
      <c r="BQ1" s="1497"/>
      <c r="BR1" s="1497"/>
      <c r="BS1" s="1497"/>
      <c r="BT1" s="1497"/>
      <c r="BU1" s="1497"/>
      <c r="BV1" s="1497"/>
      <c r="BW1" s="1497"/>
      <c r="BX1" s="1497"/>
      <c r="BY1" s="1497"/>
      <c r="BZ1" s="1497"/>
      <c r="CA1" s="1497"/>
      <c r="CB1" s="1497"/>
      <c r="CC1" s="1497"/>
      <c r="CD1" s="1497"/>
      <c r="CE1" s="1497"/>
      <c r="CF1" s="1497"/>
      <c r="CG1" s="1497"/>
      <c r="CH1" s="1497"/>
      <c r="CI1" s="1497"/>
      <c r="CJ1" s="1497"/>
      <c r="CK1" s="1497"/>
      <c r="CL1" s="1497"/>
      <c r="CM1" s="1497"/>
      <c r="CN1" s="1497"/>
      <c r="CO1" s="1497"/>
      <c r="CP1" s="1497"/>
      <c r="CQ1" s="1497"/>
      <c r="CR1" s="1497"/>
      <c r="CS1" s="1497"/>
      <c r="CT1" s="1497"/>
      <c r="CU1" s="1497"/>
      <c r="CV1" s="1497"/>
      <c r="CW1" s="1497"/>
      <c r="CX1" s="1497"/>
      <c r="CY1" s="1497"/>
      <c r="CZ1" s="1497"/>
      <c r="DA1" s="1497"/>
      <c r="DB1" s="1497"/>
      <c r="DC1" s="1497"/>
      <c r="DD1" s="1497"/>
      <c r="DE1" s="1497"/>
      <c r="DF1" s="1497"/>
      <c r="DG1" s="1497"/>
      <c r="DH1" s="1497"/>
      <c r="DI1" s="1497"/>
      <c r="DJ1" s="1497"/>
    </row>
    <row r="2" spans="1:114" ht="12" thickBot="1">
      <c r="A2" s="2096"/>
      <c r="B2" s="344" t="s">
        <v>44</v>
      </c>
      <c r="C2" s="345">
        <v>2008</v>
      </c>
      <c r="D2" s="345">
        <v>2007</v>
      </c>
      <c r="E2" s="345">
        <v>2006</v>
      </c>
      <c r="F2" s="345">
        <v>2005</v>
      </c>
      <c r="G2" s="345">
        <v>2004</v>
      </c>
      <c r="H2" s="345">
        <v>2003</v>
      </c>
      <c r="I2" s="1716">
        <v>2002</v>
      </c>
      <c r="J2" s="1422" t="s">
        <v>44</v>
      </c>
      <c r="K2" s="1717">
        <v>2008</v>
      </c>
      <c r="L2" s="1717">
        <v>2007</v>
      </c>
      <c r="M2" s="1717">
        <v>2006</v>
      </c>
      <c r="N2" s="1717">
        <v>2005</v>
      </c>
      <c r="O2" s="1717">
        <v>2004</v>
      </c>
      <c r="P2" s="1717">
        <v>2003</v>
      </c>
      <c r="Q2" s="1718">
        <v>2002</v>
      </c>
      <c r="R2" s="1719" t="s">
        <v>44</v>
      </c>
      <c r="S2" s="1720">
        <v>2008</v>
      </c>
      <c r="T2" s="1720">
        <v>2007</v>
      </c>
      <c r="U2" s="1720">
        <v>2006</v>
      </c>
      <c r="V2" s="1720">
        <v>2005</v>
      </c>
      <c r="W2" s="1720">
        <v>2004</v>
      </c>
      <c r="X2" s="1720">
        <v>2003</v>
      </c>
      <c r="Y2" s="1720">
        <v>2002</v>
      </c>
      <c r="Z2" s="1721" t="s">
        <v>44</v>
      </c>
      <c r="AA2" s="1721">
        <v>2008</v>
      </c>
      <c r="AB2" s="1721">
        <v>2007</v>
      </c>
      <c r="AC2" s="1721">
        <v>2006</v>
      </c>
      <c r="AD2" s="1721">
        <v>2005</v>
      </c>
      <c r="AE2" s="1721">
        <v>2004</v>
      </c>
      <c r="AF2" s="1721">
        <v>2003</v>
      </c>
      <c r="AG2" s="1721">
        <v>2002</v>
      </c>
      <c r="AH2" s="154" t="s">
        <v>44</v>
      </c>
      <c r="AI2" s="154">
        <v>2008</v>
      </c>
      <c r="AJ2" s="154">
        <v>2007</v>
      </c>
      <c r="AK2" s="154">
        <v>2006</v>
      </c>
      <c r="AL2" s="154">
        <v>2005</v>
      </c>
      <c r="AM2" s="154">
        <v>2004</v>
      </c>
      <c r="AN2" s="154">
        <v>2003</v>
      </c>
      <c r="AO2" s="1722">
        <v>2002</v>
      </c>
      <c r="AP2" s="155" t="s">
        <v>44</v>
      </c>
      <c r="AQ2" s="1723">
        <v>2008</v>
      </c>
      <c r="AR2" s="1723">
        <v>2007</v>
      </c>
      <c r="AS2" s="1723">
        <v>2006</v>
      </c>
      <c r="AT2" s="1723">
        <v>2005</v>
      </c>
      <c r="AU2" s="1723">
        <v>2004</v>
      </c>
      <c r="AV2" s="1723">
        <v>2003</v>
      </c>
      <c r="AW2" s="1724">
        <v>2002</v>
      </c>
      <c r="AX2" s="1498"/>
      <c r="AY2" s="1498"/>
      <c r="AZ2" s="1498"/>
      <c r="BA2" s="1498"/>
      <c r="BB2" s="1498"/>
      <c r="BC2" s="1498"/>
      <c r="BD2" s="1498"/>
      <c r="BE2" s="1498"/>
      <c r="BF2" s="1498"/>
      <c r="BG2" s="1498"/>
      <c r="BH2" s="1498"/>
      <c r="BI2" s="1498"/>
      <c r="BJ2" s="1498"/>
      <c r="BK2" s="1498"/>
      <c r="BL2" s="1498"/>
      <c r="BM2" s="1498"/>
      <c r="BN2" s="1498"/>
      <c r="BO2" s="1498"/>
      <c r="BP2" s="1498"/>
      <c r="BQ2" s="1498"/>
      <c r="BR2" s="1498"/>
      <c r="BS2" s="1498"/>
      <c r="BT2" s="1498"/>
      <c r="BU2" s="1498"/>
      <c r="BV2" s="1498"/>
      <c r="BW2" s="1498"/>
      <c r="BX2" s="1498"/>
      <c r="BY2" s="1498"/>
      <c r="BZ2" s="1498"/>
      <c r="CA2" s="1498"/>
      <c r="CB2" s="1498"/>
      <c r="CC2" s="1498"/>
      <c r="CD2" s="1498"/>
      <c r="CE2" s="1498"/>
      <c r="CF2" s="1498"/>
      <c r="CG2" s="1498"/>
      <c r="CH2" s="1498"/>
      <c r="CI2" s="1498"/>
      <c r="CJ2" s="1498"/>
      <c r="CK2" s="1498"/>
      <c r="CL2" s="1498"/>
      <c r="CM2" s="1498"/>
      <c r="CN2" s="1498"/>
      <c r="CO2" s="1498"/>
      <c r="CP2" s="1498"/>
      <c r="CQ2" s="1498"/>
      <c r="CR2" s="1498"/>
      <c r="CS2" s="1498"/>
      <c r="CT2" s="1498"/>
      <c r="CU2" s="1498"/>
      <c r="CV2" s="1498"/>
      <c r="CW2" s="1498"/>
      <c r="CX2" s="1498"/>
      <c r="CY2" s="1498"/>
      <c r="CZ2" s="1498"/>
      <c r="DA2" s="1498"/>
      <c r="DB2" s="1498"/>
      <c r="DC2" s="1498"/>
      <c r="DD2" s="1498"/>
      <c r="DE2" s="1498"/>
      <c r="DF2" s="1498"/>
      <c r="DG2" s="1498"/>
      <c r="DH2" s="1498"/>
      <c r="DI2" s="1498"/>
      <c r="DJ2" s="1498"/>
    </row>
    <row r="3" spans="1:114" s="1499" customFormat="1" ht="15" customHeight="1" thickBot="1">
      <c r="A3" s="1725"/>
      <c r="B3" s="2107" t="s">
        <v>68</v>
      </c>
      <c r="C3" s="2108"/>
      <c r="D3" s="2108"/>
      <c r="E3" s="2108"/>
      <c r="F3" s="2109"/>
      <c r="G3" s="2110"/>
      <c r="H3" s="2110"/>
      <c r="I3" s="2111"/>
      <c r="J3" s="2107" t="s">
        <v>69</v>
      </c>
      <c r="K3" s="2108"/>
      <c r="L3" s="2108"/>
      <c r="M3" s="2108"/>
      <c r="N3" s="2109"/>
      <c r="O3" s="2110"/>
      <c r="P3" s="2110"/>
      <c r="Q3" s="2112"/>
      <c r="R3" s="2107" t="s">
        <v>71</v>
      </c>
      <c r="S3" s="2108"/>
      <c r="T3" s="2108"/>
      <c r="U3" s="2109"/>
      <c r="V3" s="2109"/>
      <c r="W3" s="2110"/>
      <c r="X3" s="2110"/>
      <c r="Y3" s="2111"/>
      <c r="Z3" s="2107" t="s">
        <v>49</v>
      </c>
      <c r="AA3" s="2108"/>
      <c r="AB3" s="2108"/>
      <c r="AC3" s="2109"/>
      <c r="AD3" s="2109"/>
      <c r="AE3" s="2110"/>
      <c r="AF3" s="2110"/>
      <c r="AG3" s="2111"/>
      <c r="AH3" s="2108" t="s">
        <v>70</v>
      </c>
      <c r="AI3" s="2108"/>
      <c r="AJ3" s="2108"/>
      <c r="AK3" s="2109"/>
      <c r="AL3" s="2109"/>
      <c r="AM3" s="2110"/>
      <c r="AN3" s="2110"/>
      <c r="AO3" s="2112"/>
      <c r="AP3" s="341"/>
      <c r="AQ3" s="342"/>
      <c r="AR3" s="342"/>
      <c r="AS3" s="342"/>
      <c r="AT3" s="342"/>
      <c r="AU3" s="342"/>
      <c r="AV3" s="342"/>
      <c r="AW3" s="343"/>
      <c r="AY3" s="1500"/>
      <c r="AZ3" s="1500"/>
      <c r="BA3" s="1500"/>
      <c r="BB3" s="1500"/>
      <c r="BC3" s="1500"/>
      <c r="BD3" s="1500"/>
      <c r="BE3" s="1500"/>
      <c r="BF3" s="1500"/>
      <c r="BG3" s="1500"/>
      <c r="BH3" s="1500"/>
      <c r="BI3" s="1500"/>
      <c r="BJ3" s="1500"/>
      <c r="BK3" s="1500"/>
      <c r="BL3" s="1500"/>
      <c r="BM3" s="1500"/>
      <c r="BN3" s="1500"/>
      <c r="BO3" s="1500"/>
      <c r="BP3" s="1500"/>
      <c r="BQ3" s="1500"/>
      <c r="BR3" s="1500"/>
      <c r="BS3" s="1500"/>
      <c r="BT3" s="1500"/>
      <c r="BU3" s="1500"/>
      <c r="BV3" s="1500"/>
      <c r="BW3" s="1500"/>
      <c r="BX3" s="1500"/>
      <c r="BY3" s="1500"/>
      <c r="BZ3" s="1500"/>
      <c r="CA3" s="1500"/>
      <c r="CB3" s="1500"/>
      <c r="CC3" s="1500"/>
      <c r="CD3" s="1500"/>
      <c r="CE3" s="1500"/>
      <c r="CF3" s="1500"/>
      <c r="CG3" s="1500"/>
      <c r="CH3" s="1500"/>
      <c r="CI3" s="1500"/>
      <c r="CJ3" s="1500"/>
      <c r="CK3" s="1500"/>
      <c r="CL3" s="1500"/>
      <c r="CM3" s="1500"/>
      <c r="CN3" s="1500"/>
      <c r="CO3" s="1500"/>
      <c r="CP3" s="1500"/>
      <c r="CQ3" s="1500"/>
      <c r="CR3" s="1500"/>
      <c r="CS3" s="1500"/>
      <c r="CT3" s="1500"/>
      <c r="CU3" s="1500"/>
      <c r="CV3" s="1500"/>
      <c r="CW3" s="1500"/>
      <c r="CX3" s="1500"/>
      <c r="CY3" s="1500"/>
      <c r="CZ3" s="1500"/>
      <c r="DA3" s="1500"/>
      <c r="DB3" s="1500"/>
      <c r="DC3" s="1500"/>
      <c r="DD3" s="1500"/>
      <c r="DE3" s="1500"/>
      <c r="DF3" s="2097" t="s">
        <v>51</v>
      </c>
      <c r="DG3" s="2097"/>
      <c r="DH3" s="2097"/>
      <c r="DI3" s="2097"/>
      <c r="DJ3" s="2097"/>
    </row>
    <row r="4" spans="1:114" ht="12.75" customHeight="1" hidden="1">
      <c r="A4" s="1501"/>
      <c r="B4" s="1502"/>
      <c r="C4" s="1503"/>
      <c r="D4" s="1503"/>
      <c r="E4" s="1503"/>
      <c r="F4" s="1503"/>
      <c r="G4" s="1726">
        <v>2004</v>
      </c>
      <c r="H4" s="1726" t="s">
        <v>5</v>
      </c>
      <c r="I4" s="1727" t="s">
        <v>6</v>
      </c>
      <c r="J4" s="1728"/>
      <c r="K4" s="154">
        <v>2004</v>
      </c>
      <c r="L4" s="154">
        <v>2004</v>
      </c>
      <c r="M4" s="154">
        <v>2004</v>
      </c>
      <c r="N4" s="154">
        <v>2004</v>
      </c>
      <c r="O4" s="154">
        <v>2004</v>
      </c>
      <c r="P4" s="154" t="s">
        <v>5</v>
      </c>
      <c r="Q4" s="1722" t="s">
        <v>6</v>
      </c>
      <c r="R4" s="1729"/>
      <c r="S4" s="1720">
        <v>2004</v>
      </c>
      <c r="T4" s="1720">
        <v>2004</v>
      </c>
      <c r="U4" s="1720">
        <v>2004</v>
      </c>
      <c r="V4" s="1720">
        <v>2004</v>
      </c>
      <c r="W4" s="1720">
        <v>2004</v>
      </c>
      <c r="X4" s="1720" t="s">
        <v>5</v>
      </c>
      <c r="Y4" s="1730" t="s">
        <v>6</v>
      </c>
      <c r="Z4" s="1731"/>
      <c r="AA4" s="1721"/>
      <c r="AB4" s="1721"/>
      <c r="AC4" s="1721"/>
      <c r="AD4" s="1721"/>
      <c r="AE4" s="1721">
        <v>2004</v>
      </c>
      <c r="AF4" s="1721" t="s">
        <v>5</v>
      </c>
      <c r="AG4" s="1732" t="s">
        <v>6</v>
      </c>
      <c r="AH4" s="1733"/>
      <c r="AI4" s="154">
        <v>2004</v>
      </c>
      <c r="AJ4" s="154">
        <v>2004</v>
      </c>
      <c r="AK4" s="154">
        <v>2004</v>
      </c>
      <c r="AL4" s="154">
        <v>2004</v>
      </c>
      <c r="AM4" s="154">
        <v>2004</v>
      </c>
      <c r="AN4" s="154" t="s">
        <v>5</v>
      </c>
      <c r="AO4" s="1722" t="s">
        <v>6</v>
      </c>
      <c r="AP4" s="155"/>
      <c r="AQ4" s="1723">
        <v>2004</v>
      </c>
      <c r="AR4" s="1723">
        <v>2004</v>
      </c>
      <c r="AS4" s="1723">
        <v>2004</v>
      </c>
      <c r="AT4" s="1723">
        <v>2004</v>
      </c>
      <c r="AU4" s="1723">
        <v>2004</v>
      </c>
      <c r="AV4" s="1723" t="s">
        <v>5</v>
      </c>
      <c r="AW4" s="1724" t="s">
        <v>6</v>
      </c>
      <c r="AY4" s="1498"/>
      <c r="AZ4" s="1498"/>
      <c r="BA4" s="1498"/>
      <c r="BB4" s="1498"/>
      <c r="BC4" s="1498"/>
      <c r="BD4" s="1498"/>
      <c r="BE4" s="1498"/>
      <c r="BF4" s="1498"/>
      <c r="BG4" s="1498"/>
      <c r="BH4" s="1498"/>
      <c r="BI4" s="1498"/>
      <c r="BJ4" s="1498"/>
      <c r="BK4" s="1498"/>
      <c r="BL4" s="1498"/>
      <c r="BM4" s="1498"/>
      <c r="BN4" s="1498"/>
      <c r="BO4" s="1498"/>
      <c r="BP4" s="1498"/>
      <c r="BQ4" s="1498"/>
      <c r="BR4" s="1498"/>
      <c r="BS4" s="1498"/>
      <c r="BT4" s="1498"/>
      <c r="BU4" s="1498"/>
      <c r="BV4" s="1498"/>
      <c r="BW4" s="1498"/>
      <c r="BX4" s="1498"/>
      <c r="BY4" s="1498"/>
      <c r="BZ4" s="1498"/>
      <c r="CA4" s="1498"/>
      <c r="CB4" s="1498"/>
      <c r="CC4" s="1498"/>
      <c r="CD4" s="1498"/>
      <c r="CE4" s="1498"/>
      <c r="CF4" s="1498"/>
      <c r="CG4" s="1498"/>
      <c r="CH4" s="1498"/>
      <c r="CI4" s="1498"/>
      <c r="CJ4" s="1498"/>
      <c r="CK4" s="1498"/>
      <c r="CL4" s="1498"/>
      <c r="CM4" s="1498"/>
      <c r="CN4" s="1498"/>
      <c r="CO4" s="1498"/>
      <c r="CP4" s="1498"/>
      <c r="CQ4" s="1498"/>
      <c r="CR4" s="1498"/>
      <c r="CS4" s="1498"/>
      <c r="CT4" s="1498"/>
      <c r="CU4" s="1498"/>
      <c r="CV4" s="1498"/>
      <c r="CW4" s="1498"/>
      <c r="CX4" s="1498"/>
      <c r="CY4" s="1498"/>
      <c r="CZ4" s="1498"/>
      <c r="DA4" s="1498"/>
      <c r="DB4" s="1498"/>
      <c r="DC4" s="1498"/>
      <c r="DD4" s="1498"/>
      <c r="DE4" s="1498"/>
      <c r="DF4" s="1505" t="s">
        <v>44</v>
      </c>
      <c r="DG4" s="1505">
        <v>2004</v>
      </c>
      <c r="DH4" s="1505">
        <v>2003</v>
      </c>
      <c r="DI4" s="1505" t="s">
        <v>6</v>
      </c>
      <c r="DJ4" s="1505">
        <v>2001</v>
      </c>
    </row>
    <row r="5" spans="1:114" ht="11.25">
      <c r="A5" s="1506" t="s">
        <v>13</v>
      </c>
      <c r="B5" s="1734">
        <f aca="true" t="shared" si="0" ref="B5:B11">SUM(C5-D5)/D5</f>
        <v>-0.12441647682712775</v>
      </c>
      <c r="C5" s="435">
        <v>46891</v>
      </c>
      <c r="D5" s="435">
        <v>53554</v>
      </c>
      <c r="E5" s="435">
        <v>53503</v>
      </c>
      <c r="F5" s="435">
        <v>49725</v>
      </c>
      <c r="G5" s="435">
        <v>39460</v>
      </c>
      <c r="H5" s="435">
        <v>34955</v>
      </c>
      <c r="I5" s="436">
        <v>24981</v>
      </c>
      <c r="J5" s="1735">
        <f aca="true" t="shared" si="1" ref="J5:J11">SUM(K5-L5)/L5</f>
        <v>0.0772162535261989</v>
      </c>
      <c r="K5" s="1418">
        <v>35895</v>
      </c>
      <c r="L5" s="1418">
        <v>33322</v>
      </c>
      <c r="M5" s="1418">
        <v>26203</v>
      </c>
      <c r="N5" s="1418">
        <v>25618</v>
      </c>
      <c r="O5" s="1418">
        <v>23619</v>
      </c>
      <c r="P5" s="1418">
        <v>26506</v>
      </c>
      <c r="Q5" s="1419">
        <v>18739</v>
      </c>
      <c r="R5" s="1736">
        <f aca="true" t="shared" si="2" ref="R5:R10">SUM(S5-T5)/T5</f>
        <v>-0.04707859477876514</v>
      </c>
      <c r="S5" s="437">
        <f aca="true" t="shared" si="3" ref="S5:S10">+C5+K5</f>
        <v>82786</v>
      </c>
      <c r="T5" s="437">
        <f aca="true" t="shared" si="4" ref="T5:T17">+D5+L5</f>
        <v>86876</v>
      </c>
      <c r="U5" s="437">
        <f>+E5+M5</f>
        <v>79706</v>
      </c>
      <c r="V5" s="437">
        <f>+F5+N5</f>
        <v>75343</v>
      </c>
      <c r="W5" s="437">
        <f>+G5+O5</f>
        <v>63079</v>
      </c>
      <c r="X5" s="437">
        <f>+H5+P5</f>
        <v>61461</v>
      </c>
      <c r="Y5" s="438">
        <f>+I5+Q5</f>
        <v>43720</v>
      </c>
      <c r="Z5" s="1737">
        <f aca="true" t="shared" si="5" ref="Z5:Z11">SUM(AA5-AB5)/AB5</f>
        <v>-0.368498064759747</v>
      </c>
      <c r="AA5" s="439">
        <v>13379</v>
      </c>
      <c r="AB5" s="439">
        <v>21186</v>
      </c>
      <c r="AC5" s="439">
        <v>32123</v>
      </c>
      <c r="AD5" s="439">
        <v>22501</v>
      </c>
      <c r="AE5" s="439">
        <v>19263</v>
      </c>
      <c r="AF5" s="439">
        <v>22017</v>
      </c>
      <c r="AG5" s="440">
        <v>11156</v>
      </c>
      <c r="AH5" s="1738">
        <f aca="true" t="shared" si="6" ref="AH5:AH11">SUM(AI5-AJ5)/AJ5</f>
        <v>-0.033364890839716554</v>
      </c>
      <c r="AI5" s="152">
        <v>33694</v>
      </c>
      <c r="AJ5" s="152">
        <v>34857</v>
      </c>
      <c r="AK5" s="152">
        <v>36786</v>
      </c>
      <c r="AL5" s="152">
        <v>32708</v>
      </c>
      <c r="AM5" s="152">
        <v>30890</v>
      </c>
      <c r="AN5" s="152">
        <v>30369</v>
      </c>
      <c r="AO5" s="995">
        <v>29671</v>
      </c>
      <c r="AP5" s="1739">
        <f aca="true" t="shared" si="7" ref="AP5:AP10">SUM(AQ5-AR5)/AR5</f>
        <v>-0.09138043227282587</v>
      </c>
      <c r="AQ5" s="441">
        <f>+S5+AA5+AI5</f>
        <v>129859</v>
      </c>
      <c r="AR5" s="441">
        <f>+T5+AB5+AJ5</f>
        <v>142919</v>
      </c>
      <c r="AS5" s="441">
        <f aca="true" t="shared" si="8" ref="AS5:AS16">+U5+AC5+AK5</f>
        <v>148615</v>
      </c>
      <c r="AT5" s="441">
        <f aca="true" t="shared" si="9" ref="AT5:AT16">+V5+AD5+AL5</f>
        <v>130552</v>
      </c>
      <c r="AU5" s="441">
        <f aca="true" t="shared" si="10" ref="AU5:AU16">+W5+AE5+AM5</f>
        <v>113232</v>
      </c>
      <c r="AV5" s="441">
        <f aca="true" t="shared" si="11" ref="AV5:AV16">+X5+AF5+AN5</f>
        <v>113847</v>
      </c>
      <c r="AW5" s="442">
        <f aca="true" t="shared" si="12" ref="AW5:AW16">+Y5+AG5+AO5</f>
        <v>84547</v>
      </c>
      <c r="DF5" s="1507">
        <f>SUM(DH5-DI5)/DI5</f>
        <v>0.34655280494872676</v>
      </c>
      <c r="DG5" s="1508">
        <v>113847</v>
      </c>
      <c r="DH5" s="1508">
        <v>113847</v>
      </c>
      <c r="DI5" s="1508">
        <v>84547</v>
      </c>
      <c r="DJ5" s="1508">
        <v>91722</v>
      </c>
    </row>
    <row r="6" spans="1:114" ht="11.25">
      <c r="A6" s="1509" t="s">
        <v>14</v>
      </c>
      <c r="B6" s="1740">
        <f t="shared" si="0"/>
        <v>0.08402398639577553</v>
      </c>
      <c r="C6" s="146">
        <v>60559</v>
      </c>
      <c r="D6" s="146">
        <v>55865</v>
      </c>
      <c r="E6" s="146">
        <v>58380</v>
      </c>
      <c r="F6" s="146">
        <v>53151</v>
      </c>
      <c r="G6" s="146">
        <v>37698</v>
      </c>
      <c r="H6" s="146">
        <v>40157</v>
      </c>
      <c r="I6" s="151">
        <v>28597</v>
      </c>
      <c r="J6" s="1741">
        <f t="shared" si="1"/>
        <v>0.15382463991050202</v>
      </c>
      <c r="K6" s="1420">
        <v>41255</v>
      </c>
      <c r="L6" s="1420">
        <v>35755</v>
      </c>
      <c r="M6" s="1420">
        <v>27671</v>
      </c>
      <c r="N6" s="1420">
        <v>28232</v>
      </c>
      <c r="O6" s="1420">
        <v>28451</v>
      </c>
      <c r="P6" s="1420">
        <v>31676</v>
      </c>
      <c r="Q6" s="1421">
        <v>20759</v>
      </c>
      <c r="R6" s="1742">
        <f t="shared" si="2"/>
        <v>0.11126391617550753</v>
      </c>
      <c r="S6" s="148">
        <f t="shared" si="3"/>
        <v>101814</v>
      </c>
      <c r="T6" s="148">
        <f t="shared" si="4"/>
        <v>91620</v>
      </c>
      <c r="U6" s="148">
        <f aca="true" t="shared" si="13" ref="U6:U17">+E6+M6</f>
        <v>86051</v>
      </c>
      <c r="V6" s="148">
        <f aca="true" t="shared" si="14" ref="V6:V17">+F6+N6</f>
        <v>81383</v>
      </c>
      <c r="W6" s="148">
        <f aca="true" t="shared" si="15" ref="W6:W17">+G6+O6</f>
        <v>66149</v>
      </c>
      <c r="X6" s="148">
        <f aca="true" t="shared" si="16" ref="X6:X17">+H6+P6</f>
        <v>71833</v>
      </c>
      <c r="Y6" s="351">
        <f aca="true" t="shared" si="17" ref="Y6:Y17">+I6+Q6</f>
        <v>49356</v>
      </c>
      <c r="Z6" s="1743">
        <f t="shared" si="5"/>
        <v>-0.47729974899819455</v>
      </c>
      <c r="AA6" s="149">
        <v>11870</v>
      </c>
      <c r="AB6" s="149">
        <v>22709</v>
      </c>
      <c r="AC6" s="149">
        <v>33487</v>
      </c>
      <c r="AD6" s="149">
        <v>24251</v>
      </c>
      <c r="AE6" s="149">
        <v>22695</v>
      </c>
      <c r="AF6" s="149">
        <v>21290</v>
      </c>
      <c r="AG6" s="348">
        <v>10851</v>
      </c>
      <c r="AH6" s="1744">
        <f t="shared" si="6"/>
        <v>0.00599880023995201</v>
      </c>
      <c r="AI6" s="147">
        <v>35217</v>
      </c>
      <c r="AJ6" s="147">
        <v>35007</v>
      </c>
      <c r="AK6" s="147">
        <v>34293</v>
      </c>
      <c r="AL6" s="147">
        <v>34443</v>
      </c>
      <c r="AM6" s="147">
        <v>35450</v>
      </c>
      <c r="AN6" s="147">
        <v>34339</v>
      </c>
      <c r="AO6" s="349">
        <v>34260</v>
      </c>
      <c r="AP6" s="1745">
        <f t="shared" si="7"/>
        <v>-0.002912894412599775</v>
      </c>
      <c r="AQ6" s="150">
        <f aca="true" t="shared" si="18" ref="AQ6:AR16">+S6+AA6+AI6</f>
        <v>148901</v>
      </c>
      <c r="AR6" s="150">
        <f t="shared" si="18"/>
        <v>149336</v>
      </c>
      <c r="AS6" s="150">
        <f t="shared" si="8"/>
        <v>153831</v>
      </c>
      <c r="AT6" s="150">
        <f t="shared" si="9"/>
        <v>140077</v>
      </c>
      <c r="AU6" s="150">
        <f t="shared" si="10"/>
        <v>124294</v>
      </c>
      <c r="AV6" s="150">
        <f t="shared" si="11"/>
        <v>127462</v>
      </c>
      <c r="AW6" s="153">
        <f t="shared" si="12"/>
        <v>94467</v>
      </c>
      <c r="DF6" s="1507"/>
      <c r="DG6" s="1508"/>
      <c r="DH6" s="1508">
        <v>127462</v>
      </c>
      <c r="DI6" s="1508">
        <v>94467</v>
      </c>
      <c r="DJ6" s="1508">
        <v>93990</v>
      </c>
    </row>
    <row r="7" spans="1:114" ht="11.25">
      <c r="A7" s="1509" t="s">
        <v>15</v>
      </c>
      <c r="B7" s="1740">
        <f t="shared" si="0"/>
        <v>-0.23677855950393514</v>
      </c>
      <c r="C7" s="1746">
        <v>51203</v>
      </c>
      <c r="D7" s="146">
        <v>67088</v>
      </c>
      <c r="E7" s="146">
        <v>61813</v>
      </c>
      <c r="F7" s="146">
        <v>60837</v>
      </c>
      <c r="G7" s="146">
        <v>52015</v>
      </c>
      <c r="H7" s="146">
        <v>45456</v>
      </c>
      <c r="I7" s="151">
        <v>30840</v>
      </c>
      <c r="J7" s="1747">
        <f t="shared" si="1"/>
        <v>0.15606315082297614</v>
      </c>
      <c r="K7" s="1748">
        <v>51624</v>
      </c>
      <c r="L7" s="1420">
        <v>44655</v>
      </c>
      <c r="M7" s="1420">
        <v>33811</v>
      </c>
      <c r="N7" s="1420">
        <v>39976</v>
      </c>
      <c r="O7" s="1420">
        <v>35233</v>
      </c>
      <c r="P7" s="1420">
        <v>37388</v>
      </c>
      <c r="Q7" s="1421">
        <v>25779</v>
      </c>
      <c r="R7" s="1742">
        <f t="shared" si="2"/>
        <v>-0.07979023294524042</v>
      </c>
      <c r="S7" s="148">
        <f t="shared" si="3"/>
        <v>102827</v>
      </c>
      <c r="T7" s="148">
        <f t="shared" si="4"/>
        <v>111743</v>
      </c>
      <c r="U7" s="148">
        <f t="shared" si="13"/>
        <v>95624</v>
      </c>
      <c r="V7" s="148">
        <f t="shared" si="14"/>
        <v>100813</v>
      </c>
      <c r="W7" s="148">
        <f t="shared" si="15"/>
        <v>87248</v>
      </c>
      <c r="X7" s="148">
        <f t="shared" si="16"/>
        <v>82844</v>
      </c>
      <c r="Y7" s="351">
        <f t="shared" si="17"/>
        <v>56619</v>
      </c>
      <c r="Z7" s="1743">
        <f t="shared" si="5"/>
        <v>-0.20611620795107033</v>
      </c>
      <c r="AA7" s="1749">
        <v>19470</v>
      </c>
      <c r="AB7" s="149">
        <v>24525</v>
      </c>
      <c r="AC7" s="149">
        <v>41437</v>
      </c>
      <c r="AD7" s="149">
        <v>36322</v>
      </c>
      <c r="AE7" s="149">
        <v>25001</v>
      </c>
      <c r="AF7" s="149">
        <v>29466</v>
      </c>
      <c r="AG7" s="348">
        <v>16814</v>
      </c>
      <c r="AH7" s="1744">
        <f t="shared" si="6"/>
        <v>0.0033114883171618463</v>
      </c>
      <c r="AI7" s="1750">
        <v>43326</v>
      </c>
      <c r="AJ7" s="147">
        <v>43183</v>
      </c>
      <c r="AK7" s="147">
        <v>41808</v>
      </c>
      <c r="AL7" s="147">
        <v>42709</v>
      </c>
      <c r="AM7" s="147">
        <v>45197</v>
      </c>
      <c r="AN7" s="147">
        <v>39465</v>
      </c>
      <c r="AO7" s="349">
        <v>43863</v>
      </c>
      <c r="AP7" s="1745">
        <f t="shared" si="7"/>
        <v>-0.07705724682503859</v>
      </c>
      <c r="AQ7" s="150">
        <f>+S7+AA7+AI7</f>
        <v>165623</v>
      </c>
      <c r="AR7" s="150">
        <f t="shared" si="18"/>
        <v>179451</v>
      </c>
      <c r="AS7" s="150">
        <f t="shared" si="8"/>
        <v>178869</v>
      </c>
      <c r="AT7" s="150">
        <f t="shared" si="9"/>
        <v>179844</v>
      </c>
      <c r="AU7" s="150">
        <f t="shared" si="10"/>
        <v>157446</v>
      </c>
      <c r="AV7" s="150">
        <f t="shared" si="11"/>
        <v>151775</v>
      </c>
      <c r="AW7" s="153">
        <f t="shared" si="12"/>
        <v>117296</v>
      </c>
      <c r="DF7" s="1507"/>
      <c r="DG7" s="1508"/>
      <c r="DH7" s="1508">
        <v>151775</v>
      </c>
      <c r="DI7" s="1508">
        <v>117296</v>
      </c>
      <c r="DJ7" s="1508">
        <v>120983</v>
      </c>
    </row>
    <row r="8" spans="1:114" ht="11.25">
      <c r="A8" s="1509" t="s">
        <v>16</v>
      </c>
      <c r="B8" s="1740">
        <f t="shared" si="0"/>
        <v>0.007780213810364564</v>
      </c>
      <c r="C8" s="1746">
        <v>51942</v>
      </c>
      <c r="D8" s="146">
        <v>51541</v>
      </c>
      <c r="E8" s="146">
        <v>59865</v>
      </c>
      <c r="F8" s="146">
        <v>53348</v>
      </c>
      <c r="G8" s="146">
        <v>49853</v>
      </c>
      <c r="H8" s="146">
        <v>45368</v>
      </c>
      <c r="I8" s="151">
        <v>34066</v>
      </c>
      <c r="J8" s="1747">
        <f t="shared" si="1"/>
        <v>0.2732063234698014</v>
      </c>
      <c r="K8" s="1748">
        <v>43974</v>
      </c>
      <c r="L8" s="1420">
        <v>34538</v>
      </c>
      <c r="M8" s="1420">
        <v>26707</v>
      </c>
      <c r="N8" s="1420">
        <v>26173</v>
      </c>
      <c r="O8" s="1420">
        <v>27683</v>
      </c>
      <c r="P8" s="1420">
        <v>28651</v>
      </c>
      <c r="Q8" s="1421">
        <v>22224</v>
      </c>
      <c r="R8" s="1742">
        <f t="shared" si="2"/>
        <v>0.11427874394451608</v>
      </c>
      <c r="S8" s="148">
        <f t="shared" si="3"/>
        <v>95916</v>
      </c>
      <c r="T8" s="148">
        <f t="shared" si="4"/>
        <v>86079</v>
      </c>
      <c r="U8" s="148">
        <f t="shared" si="13"/>
        <v>86572</v>
      </c>
      <c r="V8" s="148">
        <f t="shared" si="14"/>
        <v>79521</v>
      </c>
      <c r="W8" s="148">
        <f t="shared" si="15"/>
        <v>77536</v>
      </c>
      <c r="X8" s="148">
        <f t="shared" si="16"/>
        <v>74019</v>
      </c>
      <c r="Y8" s="351">
        <f t="shared" si="17"/>
        <v>56290</v>
      </c>
      <c r="Z8" s="1743">
        <f t="shared" si="5"/>
        <v>-0.079526938239159</v>
      </c>
      <c r="AA8" s="1751">
        <f>10409+7103</f>
        <v>17512</v>
      </c>
      <c r="AB8" s="149">
        <v>19025</v>
      </c>
      <c r="AC8" s="149">
        <v>38414</v>
      </c>
      <c r="AD8" s="149">
        <v>29380</v>
      </c>
      <c r="AE8" s="149">
        <v>23310</v>
      </c>
      <c r="AF8" s="149">
        <v>25389</v>
      </c>
      <c r="AG8" s="348">
        <v>18277</v>
      </c>
      <c r="AH8" s="1744">
        <f t="shared" si="6"/>
        <v>-0.02827276404590066</v>
      </c>
      <c r="AI8" s="1752">
        <v>45643</v>
      </c>
      <c r="AJ8" s="147">
        <v>46971</v>
      </c>
      <c r="AK8" s="147">
        <v>43396</v>
      </c>
      <c r="AL8" s="147">
        <v>39872</v>
      </c>
      <c r="AM8" s="147">
        <v>40613</v>
      </c>
      <c r="AN8" s="147">
        <v>38636</v>
      </c>
      <c r="AO8" s="349">
        <v>38493</v>
      </c>
      <c r="AP8" s="1745">
        <f t="shared" si="7"/>
        <v>0.04600361663652803</v>
      </c>
      <c r="AQ8" s="150">
        <f>+S8+AA8+AI8</f>
        <v>159071</v>
      </c>
      <c r="AR8" s="150">
        <f t="shared" si="18"/>
        <v>152075</v>
      </c>
      <c r="AS8" s="150">
        <f t="shared" si="8"/>
        <v>168382</v>
      </c>
      <c r="AT8" s="150">
        <f t="shared" si="9"/>
        <v>148773</v>
      </c>
      <c r="AU8" s="150">
        <f t="shared" si="10"/>
        <v>141459</v>
      </c>
      <c r="AV8" s="150">
        <f t="shared" si="11"/>
        <v>138044</v>
      </c>
      <c r="AW8" s="153">
        <f t="shared" si="12"/>
        <v>113060</v>
      </c>
      <c r="DF8" s="1507"/>
      <c r="DG8" s="1508"/>
      <c r="DH8" s="1508">
        <v>138044</v>
      </c>
      <c r="DI8" s="1508">
        <v>113060</v>
      </c>
      <c r="DJ8" s="1508">
        <v>97365</v>
      </c>
    </row>
    <row r="9" spans="1:114" ht="11.25">
      <c r="A9" s="1509" t="s">
        <v>17</v>
      </c>
      <c r="B9" s="1740">
        <f t="shared" si="0"/>
        <v>-0.050303408382011</v>
      </c>
      <c r="C9" s="1753">
        <v>50238</v>
      </c>
      <c r="D9" s="146">
        <v>52899</v>
      </c>
      <c r="E9" s="146">
        <v>56523</v>
      </c>
      <c r="F9" s="146">
        <v>55239</v>
      </c>
      <c r="G9" s="146">
        <v>41377</v>
      </c>
      <c r="H9" s="146">
        <v>45116</v>
      </c>
      <c r="I9" s="151">
        <v>35530</v>
      </c>
      <c r="J9" s="1747">
        <f t="shared" si="1"/>
        <v>0.3500116282932988</v>
      </c>
      <c r="K9" s="1494">
        <v>40634</v>
      </c>
      <c r="L9" s="1420">
        <v>30099</v>
      </c>
      <c r="M9" s="1420">
        <v>24932</v>
      </c>
      <c r="N9" s="1420">
        <v>25997</v>
      </c>
      <c r="O9" s="1420">
        <v>28844</v>
      </c>
      <c r="P9" s="1420">
        <v>25094</v>
      </c>
      <c r="Q9" s="1421">
        <v>23256</v>
      </c>
      <c r="R9" s="1742">
        <f t="shared" si="2"/>
        <v>0.09486975589773247</v>
      </c>
      <c r="S9" s="148">
        <f t="shared" si="3"/>
        <v>90872</v>
      </c>
      <c r="T9" s="148">
        <f t="shared" si="4"/>
        <v>82998</v>
      </c>
      <c r="U9" s="148">
        <f t="shared" si="13"/>
        <v>81455</v>
      </c>
      <c r="V9" s="148">
        <f t="shared" si="14"/>
        <v>81236</v>
      </c>
      <c r="W9" s="148">
        <f t="shared" si="15"/>
        <v>70221</v>
      </c>
      <c r="X9" s="148">
        <f t="shared" si="16"/>
        <v>70210</v>
      </c>
      <c r="Y9" s="351">
        <f t="shared" si="17"/>
        <v>58786</v>
      </c>
      <c r="Z9" s="1743">
        <f t="shared" si="5"/>
        <v>0.027749657595426667</v>
      </c>
      <c r="AA9" s="1495">
        <v>17259</v>
      </c>
      <c r="AB9" s="149">
        <v>16793</v>
      </c>
      <c r="AC9" s="149">
        <v>37207</v>
      </c>
      <c r="AD9" s="149">
        <v>32639</v>
      </c>
      <c r="AE9" s="149">
        <v>24240</v>
      </c>
      <c r="AF9" s="149">
        <v>29486</v>
      </c>
      <c r="AG9" s="348">
        <v>18141</v>
      </c>
      <c r="AH9" s="1744">
        <f t="shared" si="6"/>
        <v>-0.025685310659403923</v>
      </c>
      <c r="AI9" s="1496">
        <v>44002</v>
      </c>
      <c r="AJ9" s="147">
        <v>45162</v>
      </c>
      <c r="AK9" s="147">
        <v>47800</v>
      </c>
      <c r="AL9" s="147">
        <v>44764</v>
      </c>
      <c r="AM9" s="147">
        <v>44428</v>
      </c>
      <c r="AN9" s="147">
        <v>42131</v>
      </c>
      <c r="AO9" s="349">
        <v>39467</v>
      </c>
      <c r="AP9" s="1745">
        <f t="shared" si="7"/>
        <v>0.04953329699971715</v>
      </c>
      <c r="AQ9" s="150">
        <f>+S9+AA9+AI9</f>
        <v>152133</v>
      </c>
      <c r="AR9" s="150">
        <f t="shared" si="18"/>
        <v>144953</v>
      </c>
      <c r="AS9" s="150">
        <f t="shared" si="8"/>
        <v>166462</v>
      </c>
      <c r="AT9" s="150">
        <f t="shared" si="9"/>
        <v>158639</v>
      </c>
      <c r="AU9" s="150">
        <f t="shared" si="10"/>
        <v>138889</v>
      </c>
      <c r="AV9" s="150">
        <f t="shared" si="11"/>
        <v>141827</v>
      </c>
      <c r="AW9" s="153">
        <f t="shared" si="12"/>
        <v>116394</v>
      </c>
      <c r="DF9" s="1507"/>
      <c r="DG9" s="1508"/>
      <c r="DH9" s="1508">
        <v>141827</v>
      </c>
      <c r="DI9" s="1508">
        <v>116394</v>
      </c>
      <c r="DJ9" s="1508">
        <v>98410</v>
      </c>
    </row>
    <row r="10" spans="1:114" ht="11.25">
      <c r="A10" s="1509" t="s">
        <v>18</v>
      </c>
      <c r="B10" s="1740">
        <f t="shared" si="0"/>
        <v>-0.007869464698559488</v>
      </c>
      <c r="C10" s="1753">
        <v>66945</v>
      </c>
      <c r="D10" s="146">
        <v>67476</v>
      </c>
      <c r="E10" s="146">
        <v>63592</v>
      </c>
      <c r="F10" s="146">
        <v>70695</v>
      </c>
      <c r="G10" s="146">
        <v>53307</v>
      </c>
      <c r="H10" s="146">
        <v>54762</v>
      </c>
      <c r="I10" s="151">
        <v>45337</v>
      </c>
      <c r="J10" s="1754">
        <f t="shared" si="1"/>
        <v>0.3392549714314229</v>
      </c>
      <c r="K10" s="1494">
        <v>53676</v>
      </c>
      <c r="L10" s="1420">
        <v>40079</v>
      </c>
      <c r="M10" s="1420">
        <v>31052</v>
      </c>
      <c r="N10" s="1420">
        <v>31479</v>
      </c>
      <c r="O10" s="1420">
        <v>28476</v>
      </c>
      <c r="P10" s="1420">
        <v>30095</v>
      </c>
      <c r="Q10" s="1421">
        <v>32565</v>
      </c>
      <c r="R10" s="1742">
        <f t="shared" si="2"/>
        <v>0.12148203244851472</v>
      </c>
      <c r="S10" s="148">
        <f t="shared" si="3"/>
        <v>120621</v>
      </c>
      <c r="T10" s="148">
        <f t="shared" si="4"/>
        <v>107555</v>
      </c>
      <c r="U10" s="148">
        <f t="shared" si="13"/>
        <v>94644</v>
      </c>
      <c r="V10" s="148">
        <f t="shared" si="14"/>
        <v>102174</v>
      </c>
      <c r="W10" s="148">
        <f t="shared" si="15"/>
        <v>81783</v>
      </c>
      <c r="X10" s="148">
        <f t="shared" si="16"/>
        <v>84857</v>
      </c>
      <c r="Y10" s="351">
        <f t="shared" si="17"/>
        <v>77902</v>
      </c>
      <c r="Z10" s="1743">
        <f t="shared" si="5"/>
        <v>-0.27005326337546703</v>
      </c>
      <c r="AA10" s="149">
        <v>18364</v>
      </c>
      <c r="AB10" s="149">
        <v>25158</v>
      </c>
      <c r="AC10" s="149">
        <v>44789</v>
      </c>
      <c r="AD10" s="149">
        <v>48243</v>
      </c>
      <c r="AE10" s="149">
        <v>33749</v>
      </c>
      <c r="AF10" s="149">
        <v>41157</v>
      </c>
      <c r="AG10" s="348">
        <v>22940</v>
      </c>
      <c r="AH10" s="1744">
        <f t="shared" si="6"/>
        <v>0.02527990694003033</v>
      </c>
      <c r="AI10" s="1496">
        <v>49358</v>
      </c>
      <c r="AJ10" s="147">
        <v>48141</v>
      </c>
      <c r="AK10" s="147">
        <v>51112</v>
      </c>
      <c r="AL10" s="147">
        <v>49723</v>
      </c>
      <c r="AM10" s="147">
        <v>51268</v>
      </c>
      <c r="AN10" s="147">
        <v>47668</v>
      </c>
      <c r="AO10" s="349">
        <v>47950</v>
      </c>
      <c r="AP10" s="1745">
        <f t="shared" si="7"/>
        <v>0.04140909241708782</v>
      </c>
      <c r="AQ10" s="150">
        <f>+S10+AA10+AI10</f>
        <v>188343</v>
      </c>
      <c r="AR10" s="150">
        <f t="shared" si="18"/>
        <v>180854</v>
      </c>
      <c r="AS10" s="150">
        <f t="shared" si="8"/>
        <v>190545</v>
      </c>
      <c r="AT10" s="150">
        <f t="shared" si="9"/>
        <v>200140</v>
      </c>
      <c r="AU10" s="150">
        <f t="shared" si="10"/>
        <v>166800</v>
      </c>
      <c r="AV10" s="150">
        <f t="shared" si="11"/>
        <v>173682</v>
      </c>
      <c r="AW10" s="153">
        <f t="shared" si="12"/>
        <v>148792</v>
      </c>
      <c r="DF10" s="1507"/>
      <c r="DG10" s="1508"/>
      <c r="DH10" s="1508">
        <v>173682</v>
      </c>
      <c r="DI10" s="1508">
        <v>148792</v>
      </c>
      <c r="DJ10" s="1508">
        <v>123817</v>
      </c>
    </row>
    <row r="11" spans="1:114" ht="11.25">
      <c r="A11" s="1509" t="s">
        <v>19</v>
      </c>
      <c r="B11" s="1740">
        <f t="shared" si="0"/>
        <v>-0.09970761867515876</v>
      </c>
      <c r="C11" s="146">
        <v>48343</v>
      </c>
      <c r="D11" s="146">
        <v>53697</v>
      </c>
      <c r="E11" s="146">
        <v>57234</v>
      </c>
      <c r="F11" s="146">
        <v>59847</v>
      </c>
      <c r="G11" s="146">
        <v>43407</v>
      </c>
      <c r="H11" s="146">
        <v>43450</v>
      </c>
      <c r="I11" s="151">
        <v>37969</v>
      </c>
      <c r="J11" s="1754">
        <f t="shared" si="1"/>
        <v>0.21276526493946102</v>
      </c>
      <c r="K11" s="1420">
        <v>37261</v>
      </c>
      <c r="L11" s="1420">
        <v>30724</v>
      </c>
      <c r="M11" s="1420">
        <v>24636</v>
      </c>
      <c r="N11" s="1420">
        <v>25882</v>
      </c>
      <c r="O11" s="1420">
        <v>23113</v>
      </c>
      <c r="P11" s="1420">
        <v>22961</v>
      </c>
      <c r="Q11" s="1421">
        <v>19779</v>
      </c>
      <c r="R11" s="1742">
        <f>SUM(S11-T11)/T11</f>
        <v>0.014013101005673944</v>
      </c>
      <c r="S11" s="148">
        <f>+C11+K11</f>
        <v>85604</v>
      </c>
      <c r="T11" s="148">
        <f t="shared" si="4"/>
        <v>84421</v>
      </c>
      <c r="U11" s="148">
        <f t="shared" si="13"/>
        <v>81870</v>
      </c>
      <c r="V11" s="148">
        <f t="shared" si="14"/>
        <v>85729</v>
      </c>
      <c r="W11" s="148">
        <f t="shared" si="15"/>
        <v>66520</v>
      </c>
      <c r="X11" s="148">
        <f t="shared" si="16"/>
        <v>66411</v>
      </c>
      <c r="Y11" s="351">
        <f t="shared" si="17"/>
        <v>57748</v>
      </c>
      <c r="Z11" s="1743">
        <f t="shared" si="5"/>
        <v>-0.07223487474007327</v>
      </c>
      <c r="AA11" s="149">
        <v>18739</v>
      </c>
      <c r="AB11" s="149">
        <v>20198</v>
      </c>
      <c r="AC11" s="149">
        <v>33724</v>
      </c>
      <c r="AD11" s="149">
        <v>39312</v>
      </c>
      <c r="AE11" s="149">
        <v>27600</v>
      </c>
      <c r="AF11" s="149">
        <v>29517</v>
      </c>
      <c r="AG11" s="348">
        <v>22938</v>
      </c>
      <c r="AH11" s="1744">
        <f t="shared" si="6"/>
        <v>-0.05670103092783505</v>
      </c>
      <c r="AI11" s="147">
        <v>45750</v>
      </c>
      <c r="AJ11" s="147">
        <v>48500</v>
      </c>
      <c r="AK11" s="147">
        <v>46660</v>
      </c>
      <c r="AL11" s="147">
        <v>45607</v>
      </c>
      <c r="AM11" s="147">
        <v>42649</v>
      </c>
      <c r="AN11" s="147">
        <v>46995</v>
      </c>
      <c r="AO11" s="349">
        <v>44993</v>
      </c>
      <c r="AP11" s="1745">
        <f>SUM(AQ11-AR11)/AR11</f>
        <v>-0.019762407016764738</v>
      </c>
      <c r="AQ11" s="150">
        <f>+S11+AA11+AI11</f>
        <v>150093</v>
      </c>
      <c r="AR11" s="150">
        <f t="shared" si="18"/>
        <v>153119</v>
      </c>
      <c r="AS11" s="150">
        <f t="shared" si="8"/>
        <v>162254</v>
      </c>
      <c r="AT11" s="150">
        <f t="shared" si="9"/>
        <v>170648</v>
      </c>
      <c r="AU11" s="150">
        <f t="shared" si="10"/>
        <v>136769</v>
      </c>
      <c r="AV11" s="150">
        <f t="shared" si="11"/>
        <v>142923</v>
      </c>
      <c r="AW11" s="153">
        <f t="shared" si="12"/>
        <v>125679</v>
      </c>
      <c r="DF11" s="1507"/>
      <c r="DG11" s="1508"/>
      <c r="DH11" s="1508">
        <v>142923</v>
      </c>
      <c r="DI11" s="1508">
        <v>125679</v>
      </c>
      <c r="DJ11" s="1508">
        <v>108146</v>
      </c>
    </row>
    <row r="12" spans="1:114" ht="11.25">
      <c r="A12" s="1509" t="s">
        <v>20</v>
      </c>
      <c r="B12" s="1740"/>
      <c r="C12" s="146"/>
      <c r="D12" s="146">
        <v>54367</v>
      </c>
      <c r="E12" s="146">
        <v>57897</v>
      </c>
      <c r="F12" s="146">
        <v>65566</v>
      </c>
      <c r="G12" s="146">
        <v>42654</v>
      </c>
      <c r="H12" s="146">
        <v>43464</v>
      </c>
      <c r="I12" s="151">
        <v>40667</v>
      </c>
      <c r="J12" s="1741"/>
      <c r="K12" s="1420"/>
      <c r="L12" s="1420">
        <v>33216</v>
      </c>
      <c r="M12" s="1420">
        <v>25732</v>
      </c>
      <c r="N12" s="1420">
        <v>26754</v>
      </c>
      <c r="O12" s="1420">
        <v>24772</v>
      </c>
      <c r="P12" s="1420">
        <v>25481</v>
      </c>
      <c r="Q12" s="1421">
        <v>21135</v>
      </c>
      <c r="R12" s="1742"/>
      <c r="S12" s="148"/>
      <c r="T12" s="148">
        <f t="shared" si="4"/>
        <v>87583</v>
      </c>
      <c r="U12" s="148">
        <f t="shared" si="13"/>
        <v>83629</v>
      </c>
      <c r="V12" s="148">
        <f t="shared" si="14"/>
        <v>92320</v>
      </c>
      <c r="W12" s="148">
        <f t="shared" si="15"/>
        <v>67426</v>
      </c>
      <c r="X12" s="148">
        <f t="shared" si="16"/>
        <v>68945</v>
      </c>
      <c r="Y12" s="351">
        <f t="shared" si="17"/>
        <v>61802</v>
      </c>
      <c r="Z12" s="1755"/>
      <c r="AA12" s="149"/>
      <c r="AB12" s="149">
        <v>21251</v>
      </c>
      <c r="AC12" s="149">
        <v>32024</v>
      </c>
      <c r="AD12" s="149">
        <v>39419</v>
      </c>
      <c r="AE12" s="149">
        <v>33115</v>
      </c>
      <c r="AF12" s="149">
        <v>29318</v>
      </c>
      <c r="AG12" s="348">
        <v>24670</v>
      </c>
      <c r="AH12" s="1744"/>
      <c r="AI12" s="147"/>
      <c r="AJ12" s="147">
        <v>45995</v>
      </c>
      <c r="AK12" s="147">
        <v>45042</v>
      </c>
      <c r="AL12" s="147">
        <v>46363</v>
      </c>
      <c r="AM12" s="147">
        <v>47829</v>
      </c>
      <c r="AN12" s="147">
        <v>44880</v>
      </c>
      <c r="AO12" s="349">
        <v>43722</v>
      </c>
      <c r="AP12" s="1745"/>
      <c r="AQ12" s="150"/>
      <c r="AR12" s="150">
        <f t="shared" si="18"/>
        <v>154829</v>
      </c>
      <c r="AS12" s="150">
        <f t="shared" si="8"/>
        <v>160695</v>
      </c>
      <c r="AT12" s="150">
        <f t="shared" si="9"/>
        <v>178102</v>
      </c>
      <c r="AU12" s="150">
        <f t="shared" si="10"/>
        <v>148370</v>
      </c>
      <c r="AV12" s="150">
        <f t="shared" si="11"/>
        <v>143143</v>
      </c>
      <c r="AW12" s="153">
        <f t="shared" si="12"/>
        <v>130194</v>
      </c>
      <c r="DF12" s="1507"/>
      <c r="DG12" s="1508"/>
      <c r="DH12" s="1508">
        <v>143143</v>
      </c>
      <c r="DI12" s="1508">
        <v>130194</v>
      </c>
      <c r="DJ12" s="1508">
        <v>111280</v>
      </c>
    </row>
    <row r="13" spans="1:114" ht="11.25">
      <c r="A13" s="1509" t="s">
        <v>21</v>
      </c>
      <c r="B13" s="1740"/>
      <c r="C13" s="146"/>
      <c r="D13" s="146">
        <v>69404</v>
      </c>
      <c r="E13" s="146">
        <v>74951</v>
      </c>
      <c r="F13" s="146">
        <v>81225</v>
      </c>
      <c r="G13" s="146">
        <v>62419</v>
      </c>
      <c r="H13" s="146">
        <v>58220</v>
      </c>
      <c r="I13" s="151">
        <v>52320</v>
      </c>
      <c r="J13" s="1741"/>
      <c r="K13" s="1420"/>
      <c r="L13" s="1420">
        <v>44567</v>
      </c>
      <c r="M13" s="1420">
        <v>34016</v>
      </c>
      <c r="N13" s="1420">
        <v>34905</v>
      </c>
      <c r="O13" s="1420">
        <v>28719</v>
      </c>
      <c r="P13" s="1420">
        <v>32579</v>
      </c>
      <c r="Q13" s="1421">
        <v>23579</v>
      </c>
      <c r="R13" s="1742"/>
      <c r="S13" s="148"/>
      <c r="T13" s="148">
        <f t="shared" si="4"/>
        <v>113971</v>
      </c>
      <c r="U13" s="148">
        <f t="shared" si="13"/>
        <v>108967</v>
      </c>
      <c r="V13" s="148">
        <f t="shared" si="14"/>
        <v>116130</v>
      </c>
      <c r="W13" s="148">
        <f t="shared" si="15"/>
        <v>91138</v>
      </c>
      <c r="X13" s="148">
        <f t="shared" si="16"/>
        <v>90799</v>
      </c>
      <c r="Y13" s="351">
        <f t="shared" si="17"/>
        <v>75899</v>
      </c>
      <c r="Z13" s="1755"/>
      <c r="AA13" s="149"/>
      <c r="AB13" s="149">
        <v>29084</v>
      </c>
      <c r="AC13" s="149">
        <v>44607</v>
      </c>
      <c r="AD13" s="149">
        <v>50277</v>
      </c>
      <c r="AE13" s="149">
        <v>41909</v>
      </c>
      <c r="AF13" s="149">
        <v>33340</v>
      </c>
      <c r="AG13" s="348">
        <v>32108</v>
      </c>
      <c r="AH13" s="1744"/>
      <c r="AI13" s="147"/>
      <c r="AJ13" s="147">
        <v>46534</v>
      </c>
      <c r="AK13" s="147">
        <v>46398</v>
      </c>
      <c r="AL13" s="147">
        <v>50023</v>
      </c>
      <c r="AM13" s="147">
        <v>44475</v>
      </c>
      <c r="AN13" s="147">
        <v>44803</v>
      </c>
      <c r="AO13" s="349">
        <v>48122</v>
      </c>
      <c r="AP13" s="1745"/>
      <c r="AQ13" s="150"/>
      <c r="AR13" s="150">
        <f t="shared" si="18"/>
        <v>189589</v>
      </c>
      <c r="AS13" s="150">
        <f t="shared" si="8"/>
        <v>199972</v>
      </c>
      <c r="AT13" s="150">
        <f t="shared" si="9"/>
        <v>216430</v>
      </c>
      <c r="AU13" s="150">
        <f t="shared" si="10"/>
        <v>177522</v>
      </c>
      <c r="AV13" s="150">
        <f t="shared" si="11"/>
        <v>168942</v>
      </c>
      <c r="AW13" s="153">
        <f t="shared" si="12"/>
        <v>156129</v>
      </c>
      <c r="DF13" s="1507"/>
      <c r="DG13" s="1508"/>
      <c r="DH13" s="1508">
        <v>168942</v>
      </c>
      <c r="DI13" s="1508">
        <v>156129</v>
      </c>
      <c r="DJ13" s="1508">
        <v>138878</v>
      </c>
    </row>
    <row r="14" spans="1:114" ht="11.25">
      <c r="A14" s="1509" t="s">
        <v>22</v>
      </c>
      <c r="B14" s="1740"/>
      <c r="C14" s="146"/>
      <c r="D14" s="146">
        <v>56886</v>
      </c>
      <c r="E14" s="146">
        <v>63432</v>
      </c>
      <c r="F14" s="146">
        <v>68140</v>
      </c>
      <c r="G14" s="146">
        <v>48078</v>
      </c>
      <c r="H14" s="146">
        <v>48893</v>
      </c>
      <c r="I14" s="151">
        <v>40256</v>
      </c>
      <c r="J14" s="1741"/>
      <c r="K14" s="1420"/>
      <c r="L14" s="1420">
        <v>36366</v>
      </c>
      <c r="M14" s="1420">
        <v>31181</v>
      </c>
      <c r="N14" s="1420">
        <v>31262</v>
      </c>
      <c r="O14" s="1420">
        <v>30284</v>
      </c>
      <c r="P14" s="1420">
        <v>25413</v>
      </c>
      <c r="Q14" s="1421">
        <v>13440</v>
      </c>
      <c r="R14" s="1742"/>
      <c r="S14" s="148"/>
      <c r="T14" s="148">
        <f t="shared" si="4"/>
        <v>93252</v>
      </c>
      <c r="U14" s="148">
        <f t="shared" si="13"/>
        <v>94613</v>
      </c>
      <c r="V14" s="148">
        <f t="shared" si="14"/>
        <v>99402</v>
      </c>
      <c r="W14" s="148">
        <f t="shared" si="15"/>
        <v>78362</v>
      </c>
      <c r="X14" s="148">
        <f t="shared" si="16"/>
        <v>74306</v>
      </c>
      <c r="Y14" s="351">
        <f t="shared" si="17"/>
        <v>53696</v>
      </c>
      <c r="Z14" s="1755"/>
      <c r="AA14" s="149"/>
      <c r="AB14" s="149">
        <v>24018</v>
      </c>
      <c r="AC14" s="149">
        <v>33251</v>
      </c>
      <c r="AD14" s="149">
        <v>39582</v>
      </c>
      <c r="AE14" s="149">
        <v>28646</v>
      </c>
      <c r="AF14" s="149">
        <v>29543</v>
      </c>
      <c r="AG14" s="348">
        <v>15524</v>
      </c>
      <c r="AH14" s="1744"/>
      <c r="AI14" s="147"/>
      <c r="AJ14" s="147">
        <v>46154</v>
      </c>
      <c r="AK14" s="147">
        <v>44136</v>
      </c>
      <c r="AL14" s="147">
        <v>43972</v>
      </c>
      <c r="AM14" s="147">
        <v>42252</v>
      </c>
      <c r="AN14" s="147">
        <v>42141</v>
      </c>
      <c r="AO14" s="349">
        <v>35199</v>
      </c>
      <c r="AP14" s="1745"/>
      <c r="AQ14" s="150"/>
      <c r="AR14" s="150">
        <f t="shared" si="18"/>
        <v>163424</v>
      </c>
      <c r="AS14" s="150">
        <f t="shared" si="8"/>
        <v>172000</v>
      </c>
      <c r="AT14" s="150">
        <f t="shared" si="9"/>
        <v>182956</v>
      </c>
      <c r="AU14" s="150">
        <f t="shared" si="10"/>
        <v>149260</v>
      </c>
      <c r="AV14" s="150">
        <f t="shared" si="11"/>
        <v>145990</v>
      </c>
      <c r="AW14" s="153">
        <f t="shared" si="12"/>
        <v>104419</v>
      </c>
      <c r="DF14" s="1507"/>
      <c r="DG14" s="1508"/>
      <c r="DH14" s="1508">
        <v>145742</v>
      </c>
      <c r="DI14" s="1508">
        <v>104419</v>
      </c>
      <c r="DJ14" s="1508">
        <v>113976</v>
      </c>
    </row>
    <row r="15" spans="1:114" ht="11.25">
      <c r="A15" s="1509" t="s">
        <v>23</v>
      </c>
      <c r="B15" s="1740"/>
      <c r="C15" s="146"/>
      <c r="D15" s="146">
        <v>51938</v>
      </c>
      <c r="E15" s="146">
        <v>72852</v>
      </c>
      <c r="F15" s="146">
        <v>59766</v>
      </c>
      <c r="G15" s="146">
        <v>58301</v>
      </c>
      <c r="H15" s="146">
        <v>46647</v>
      </c>
      <c r="I15" s="151">
        <v>38373</v>
      </c>
      <c r="J15" s="1741"/>
      <c r="K15" s="1420"/>
      <c r="L15" s="1420">
        <v>38944</v>
      </c>
      <c r="M15" s="1420">
        <v>41399</v>
      </c>
      <c r="N15" s="1420">
        <v>30781</v>
      </c>
      <c r="O15" s="1420">
        <v>30600</v>
      </c>
      <c r="P15" s="1420">
        <v>26206</v>
      </c>
      <c r="Q15" s="1421">
        <v>26292</v>
      </c>
      <c r="R15" s="1742"/>
      <c r="S15" s="148"/>
      <c r="T15" s="148">
        <f t="shared" si="4"/>
        <v>90882</v>
      </c>
      <c r="U15" s="148">
        <f t="shared" si="13"/>
        <v>114251</v>
      </c>
      <c r="V15" s="148">
        <f t="shared" si="14"/>
        <v>90547</v>
      </c>
      <c r="W15" s="148">
        <f t="shared" si="15"/>
        <v>88901</v>
      </c>
      <c r="X15" s="148">
        <f t="shared" si="16"/>
        <v>72853</v>
      </c>
      <c r="Y15" s="351">
        <f t="shared" si="17"/>
        <v>64665</v>
      </c>
      <c r="Z15" s="1755"/>
      <c r="AA15" s="149"/>
      <c r="AB15" s="149">
        <v>18751</v>
      </c>
      <c r="AC15" s="149">
        <v>34391</v>
      </c>
      <c r="AD15" s="149">
        <v>37794</v>
      </c>
      <c r="AE15" s="149">
        <v>29129</v>
      </c>
      <c r="AF15" s="149">
        <v>30598</v>
      </c>
      <c r="AG15" s="348">
        <v>30737</v>
      </c>
      <c r="AH15" s="1744"/>
      <c r="AI15" s="147"/>
      <c r="AJ15" s="147">
        <v>37990</v>
      </c>
      <c r="AK15" s="147">
        <v>41448</v>
      </c>
      <c r="AL15" s="147">
        <v>40635</v>
      </c>
      <c r="AM15" s="147">
        <v>40956</v>
      </c>
      <c r="AN15" s="147">
        <v>38633</v>
      </c>
      <c r="AO15" s="349">
        <v>41259</v>
      </c>
      <c r="AP15" s="1745"/>
      <c r="AQ15" s="150"/>
      <c r="AR15" s="150">
        <f t="shared" si="18"/>
        <v>147623</v>
      </c>
      <c r="AS15" s="150">
        <f t="shared" si="8"/>
        <v>190090</v>
      </c>
      <c r="AT15" s="150">
        <f t="shared" si="9"/>
        <v>168976</v>
      </c>
      <c r="AU15" s="150">
        <f t="shared" si="10"/>
        <v>158986</v>
      </c>
      <c r="AV15" s="150">
        <f t="shared" si="11"/>
        <v>142084</v>
      </c>
      <c r="AW15" s="153">
        <f t="shared" si="12"/>
        <v>136661</v>
      </c>
      <c r="DF15" s="1507"/>
      <c r="DG15" s="1508"/>
      <c r="DH15" s="1508">
        <v>142084</v>
      </c>
      <c r="DI15" s="1508">
        <v>136661</v>
      </c>
      <c r="DJ15" s="1508">
        <v>105136</v>
      </c>
    </row>
    <row r="16" spans="1:114" ht="12" thickBot="1">
      <c r="A16" s="1510" t="s">
        <v>24</v>
      </c>
      <c r="B16" s="1756"/>
      <c r="C16" s="443"/>
      <c r="D16" s="443">
        <v>59317</v>
      </c>
      <c r="E16" s="443">
        <v>66275</v>
      </c>
      <c r="F16" s="443">
        <v>67784</v>
      </c>
      <c r="G16" s="443">
        <v>68013</v>
      </c>
      <c r="H16" s="443">
        <v>48967</v>
      </c>
      <c r="I16" s="444">
        <v>44598</v>
      </c>
      <c r="J16" s="1757"/>
      <c r="K16" s="1423"/>
      <c r="L16" s="1423">
        <v>43606</v>
      </c>
      <c r="M16" s="1423">
        <v>40899</v>
      </c>
      <c r="N16" s="1423">
        <v>38693</v>
      </c>
      <c r="O16" s="1423">
        <v>35315</v>
      </c>
      <c r="P16" s="1423">
        <v>33564</v>
      </c>
      <c r="Q16" s="1424">
        <v>31442</v>
      </c>
      <c r="R16" s="1758"/>
      <c r="S16" s="447"/>
      <c r="T16" s="447">
        <f t="shared" si="4"/>
        <v>102923</v>
      </c>
      <c r="U16" s="447">
        <f t="shared" si="13"/>
        <v>107174</v>
      </c>
      <c r="V16" s="447">
        <f t="shared" si="14"/>
        <v>106477</v>
      </c>
      <c r="W16" s="447">
        <f t="shared" si="15"/>
        <v>103328</v>
      </c>
      <c r="X16" s="447">
        <f t="shared" si="16"/>
        <v>82531</v>
      </c>
      <c r="Y16" s="448">
        <f t="shared" si="17"/>
        <v>76040</v>
      </c>
      <c r="Z16" s="1759"/>
      <c r="AA16" s="449"/>
      <c r="AB16" s="449">
        <v>20281</v>
      </c>
      <c r="AC16" s="449">
        <v>32266</v>
      </c>
      <c r="AD16" s="449">
        <v>40883</v>
      </c>
      <c r="AE16" s="449">
        <v>39040</v>
      </c>
      <c r="AF16" s="449">
        <v>28660</v>
      </c>
      <c r="AG16" s="450">
        <v>30204</v>
      </c>
      <c r="AH16" s="1760"/>
      <c r="AI16" s="445"/>
      <c r="AJ16" s="445">
        <v>43558</v>
      </c>
      <c r="AK16" s="445">
        <v>35991</v>
      </c>
      <c r="AL16" s="445">
        <v>43950</v>
      </c>
      <c r="AM16" s="445">
        <v>42165</v>
      </c>
      <c r="AN16" s="445">
        <v>37158</v>
      </c>
      <c r="AO16" s="446">
        <v>36952</v>
      </c>
      <c r="AP16" s="1761"/>
      <c r="AQ16" s="451"/>
      <c r="AR16" s="451">
        <f t="shared" si="18"/>
        <v>166762</v>
      </c>
      <c r="AS16" s="451">
        <f t="shared" si="8"/>
        <v>175431</v>
      </c>
      <c r="AT16" s="451">
        <f t="shared" si="9"/>
        <v>191310</v>
      </c>
      <c r="AU16" s="451">
        <f t="shared" si="10"/>
        <v>184533</v>
      </c>
      <c r="AV16" s="451">
        <f t="shared" si="11"/>
        <v>148349</v>
      </c>
      <c r="AW16" s="452">
        <f t="shared" si="12"/>
        <v>143196</v>
      </c>
      <c r="DF16" s="1507"/>
      <c r="DG16" s="1508"/>
      <c r="DH16" s="1508">
        <v>148349</v>
      </c>
      <c r="DI16" s="1508">
        <v>143196</v>
      </c>
      <c r="DJ16" s="1508">
        <v>116571</v>
      </c>
    </row>
    <row r="17" spans="1:114" s="1512" customFormat="1" ht="11.25">
      <c r="A17" s="1511" t="s">
        <v>25</v>
      </c>
      <c r="B17" s="1762">
        <f>SUM(C17-D17)/D17</f>
        <v>-0.06465482940415797</v>
      </c>
      <c r="C17" s="434">
        <f>SUM(C5:C11)</f>
        <v>376121</v>
      </c>
      <c r="D17" s="434">
        <f aca="true" t="shared" si="19" ref="D17:I17">SUM(D5:D11)</f>
        <v>402120</v>
      </c>
      <c r="E17" s="434">
        <f t="shared" si="19"/>
        <v>410910</v>
      </c>
      <c r="F17" s="434">
        <f t="shared" si="19"/>
        <v>402842</v>
      </c>
      <c r="G17" s="434">
        <f t="shared" si="19"/>
        <v>317117</v>
      </c>
      <c r="H17" s="434">
        <f t="shared" si="19"/>
        <v>309264</v>
      </c>
      <c r="I17" s="434">
        <f t="shared" si="19"/>
        <v>237320</v>
      </c>
      <c r="J17" s="1763">
        <f>SUM(K17-L17)/L17</f>
        <v>0.22132101520235017</v>
      </c>
      <c r="K17" s="434">
        <f>SUM(K5:K11)</f>
        <v>304319</v>
      </c>
      <c r="L17" s="434">
        <f aca="true" t="shared" si="20" ref="L17:Q17">SUM(L5:L11)</f>
        <v>249172</v>
      </c>
      <c r="M17" s="434">
        <f t="shared" si="20"/>
        <v>195012</v>
      </c>
      <c r="N17" s="434">
        <f t="shared" si="20"/>
        <v>203357</v>
      </c>
      <c r="O17" s="434">
        <f t="shared" si="20"/>
        <v>195419</v>
      </c>
      <c r="P17" s="434">
        <f t="shared" si="20"/>
        <v>202371</v>
      </c>
      <c r="Q17" s="434">
        <f t="shared" si="20"/>
        <v>163101</v>
      </c>
      <c r="R17" s="1762">
        <f>SUM(S17-T17)/T17</f>
        <v>0.04475411950400128</v>
      </c>
      <c r="S17" s="434">
        <f>+C17+K17</f>
        <v>680440</v>
      </c>
      <c r="T17" s="434">
        <f t="shared" si="4"/>
        <v>651292</v>
      </c>
      <c r="U17" s="434">
        <f t="shared" si="13"/>
        <v>605922</v>
      </c>
      <c r="V17" s="434">
        <f t="shared" si="14"/>
        <v>606199</v>
      </c>
      <c r="W17" s="434">
        <f t="shared" si="15"/>
        <v>512536</v>
      </c>
      <c r="X17" s="434">
        <f t="shared" si="16"/>
        <v>511635</v>
      </c>
      <c r="Y17" s="434">
        <f t="shared" si="17"/>
        <v>400421</v>
      </c>
      <c r="Z17" s="1763">
        <f>SUM(AA17-AB17)/AB17</f>
        <v>-0.2206037675307833</v>
      </c>
      <c r="AA17" s="434">
        <f>SUM(AA5:AA11)</f>
        <v>116593</v>
      </c>
      <c r="AB17" s="434">
        <f aca="true" t="shared" si="21" ref="AB17:AG17">SUM(AB5:AB11)</f>
        <v>149594</v>
      </c>
      <c r="AC17" s="434">
        <f t="shared" si="21"/>
        <v>261181</v>
      </c>
      <c r="AD17" s="434">
        <f t="shared" si="21"/>
        <v>232648</v>
      </c>
      <c r="AE17" s="434">
        <f t="shared" si="21"/>
        <v>175858</v>
      </c>
      <c r="AF17" s="434">
        <f t="shared" si="21"/>
        <v>198322</v>
      </c>
      <c r="AG17" s="434">
        <f t="shared" si="21"/>
        <v>121117</v>
      </c>
      <c r="AH17" s="1763">
        <f>SUM(AI17-AJ17)/AJ17</f>
        <v>-0.016006175845948427</v>
      </c>
      <c r="AI17" s="434">
        <f>SUM(AI5:AI11)</f>
        <v>296990</v>
      </c>
      <c r="AJ17" s="434">
        <f aca="true" t="shared" si="22" ref="AJ17:AO17">SUM(AJ5:AJ11)</f>
        <v>301821</v>
      </c>
      <c r="AK17" s="434">
        <f t="shared" si="22"/>
        <v>301855</v>
      </c>
      <c r="AL17" s="434">
        <f t="shared" si="22"/>
        <v>289826</v>
      </c>
      <c r="AM17" s="434">
        <f t="shared" si="22"/>
        <v>290495</v>
      </c>
      <c r="AN17" s="434">
        <f t="shared" si="22"/>
        <v>279603</v>
      </c>
      <c r="AO17" s="434">
        <f t="shared" si="22"/>
        <v>278697</v>
      </c>
      <c r="AP17" s="1762">
        <f>SUM(AQ17-AR17)/AR17</f>
        <v>-0.007875165388448608</v>
      </c>
      <c r="AQ17" s="434">
        <f aca="true" t="shared" si="23" ref="AQ17:AW17">+AA17+AI17+S17</f>
        <v>1094023</v>
      </c>
      <c r="AR17" s="434">
        <f t="shared" si="23"/>
        <v>1102707</v>
      </c>
      <c r="AS17" s="434">
        <f t="shared" si="23"/>
        <v>1168958</v>
      </c>
      <c r="AT17" s="434">
        <f t="shared" si="23"/>
        <v>1128673</v>
      </c>
      <c r="AU17" s="434">
        <f t="shared" si="23"/>
        <v>978889</v>
      </c>
      <c r="AV17" s="434">
        <f t="shared" si="23"/>
        <v>989560</v>
      </c>
      <c r="AW17" s="434">
        <f t="shared" si="23"/>
        <v>800235</v>
      </c>
      <c r="DF17" s="1513">
        <f>SUM(DH17-DI17)/DI17</f>
        <v>0.45915496269029543</v>
      </c>
      <c r="DG17" s="1514">
        <f>SUM(DG5:DG14)</f>
        <v>113847</v>
      </c>
      <c r="DH17" s="1514">
        <f>SUM(DH5:DH16)</f>
        <v>1737820</v>
      </c>
      <c r="DI17" s="1514">
        <f>SUM(DI5:DI14)</f>
        <v>1190977</v>
      </c>
      <c r="DJ17" s="1514">
        <f>SUM(DJ5:DJ14)</f>
        <v>1098567</v>
      </c>
    </row>
    <row r="18" spans="1:114" s="1512" customFormat="1" ht="12" thickBot="1">
      <c r="A18" s="1515" t="s">
        <v>26</v>
      </c>
      <c r="B18" s="1764">
        <f>SUM(C18-D18)/D18</f>
        <v>-0.07096667424145121</v>
      </c>
      <c r="C18" s="339">
        <f>AVERAGE(C5:C16)</f>
        <v>53731.57142857143</v>
      </c>
      <c r="D18" s="339">
        <f>AVERAGE(D5:D16)</f>
        <v>57836</v>
      </c>
      <c r="E18" s="339">
        <f>AVERAGE(E5:E16)</f>
        <v>62193.083333333336</v>
      </c>
      <c r="F18" s="339">
        <f>AVERAGE(F5:F16)</f>
        <v>62110.25</v>
      </c>
      <c r="G18" s="339">
        <f aca="true" t="shared" si="24" ref="G18:Q18">AVERAGE(G5:G16)</f>
        <v>49715.166666666664</v>
      </c>
      <c r="H18" s="339">
        <f t="shared" si="24"/>
        <v>46287.916666666664</v>
      </c>
      <c r="I18" s="340">
        <f t="shared" si="24"/>
        <v>37794.5</v>
      </c>
      <c r="J18" s="1764">
        <f>SUM(K18-L18)/L18</f>
        <v>0.17004630102813212</v>
      </c>
      <c r="K18" s="339">
        <f>AVERAGE(K5:K16)</f>
        <v>43474.142857142855</v>
      </c>
      <c r="L18" s="339">
        <f>AVERAGE(L5:L16)</f>
        <v>37155.916666666664</v>
      </c>
      <c r="M18" s="339">
        <f>AVERAGE(M5:M16)</f>
        <v>30686.583333333332</v>
      </c>
      <c r="N18" s="339">
        <f>AVERAGE(N5:N16)</f>
        <v>30479.333333333332</v>
      </c>
      <c r="O18" s="339">
        <f t="shared" si="24"/>
        <v>28759.083333333332</v>
      </c>
      <c r="P18" s="339">
        <f t="shared" si="24"/>
        <v>28801.166666666668</v>
      </c>
      <c r="Q18" s="350">
        <f t="shared" si="24"/>
        <v>23249.083333333332</v>
      </c>
      <c r="R18" s="1764">
        <f>SUM(S18-T18)/T18</f>
        <v>0.02330511581123255</v>
      </c>
      <c r="S18" s="339">
        <f aca="true" t="shared" si="25" ref="S18:Y18">AVERAGE(S5:S16)</f>
        <v>97205.71428571429</v>
      </c>
      <c r="T18" s="339">
        <f t="shared" si="25"/>
        <v>94991.91666666667</v>
      </c>
      <c r="U18" s="339">
        <f t="shared" si="25"/>
        <v>92879.66666666667</v>
      </c>
      <c r="V18" s="339">
        <f t="shared" si="25"/>
        <v>92589.58333333333</v>
      </c>
      <c r="W18" s="339">
        <f t="shared" si="25"/>
        <v>78474.25</v>
      </c>
      <c r="X18" s="339">
        <f t="shared" si="25"/>
        <v>75089.08333333333</v>
      </c>
      <c r="Y18" s="340">
        <f t="shared" si="25"/>
        <v>61043.583333333336</v>
      </c>
      <c r="Z18" s="1764">
        <f>SUM(AA18-AB18)/AB18</f>
        <v>-0.23996321270628343</v>
      </c>
      <c r="AA18" s="339">
        <f aca="true" t="shared" si="26" ref="AA18:AG18">AVERAGE(AA5:AA16)</f>
        <v>16656.14285714286</v>
      </c>
      <c r="AB18" s="339">
        <f t="shared" si="26"/>
        <v>21914.916666666668</v>
      </c>
      <c r="AC18" s="339">
        <f t="shared" si="26"/>
        <v>36476.666666666664</v>
      </c>
      <c r="AD18" s="339">
        <f t="shared" si="26"/>
        <v>36716.916666666664</v>
      </c>
      <c r="AE18" s="339">
        <f t="shared" si="26"/>
        <v>28974.75</v>
      </c>
      <c r="AF18" s="339">
        <f t="shared" si="26"/>
        <v>29148.416666666668</v>
      </c>
      <c r="AG18" s="340">
        <f t="shared" si="26"/>
        <v>21196.666666666668</v>
      </c>
      <c r="AH18" s="1764">
        <f>SUM(AI18-AJ18)/AJ18</f>
        <v>-0.02476053288616032</v>
      </c>
      <c r="AI18" s="339">
        <f aca="true" t="shared" si="27" ref="AI18:AO18">AVERAGE(AI5:AI16)</f>
        <v>42427.142857142855</v>
      </c>
      <c r="AJ18" s="339">
        <f t="shared" si="27"/>
        <v>43504.333333333336</v>
      </c>
      <c r="AK18" s="339">
        <f t="shared" si="27"/>
        <v>42905.833333333336</v>
      </c>
      <c r="AL18" s="339">
        <f t="shared" si="27"/>
        <v>42897.416666666664</v>
      </c>
      <c r="AM18" s="339">
        <f t="shared" si="27"/>
        <v>42347.666666666664</v>
      </c>
      <c r="AN18" s="339">
        <f t="shared" si="27"/>
        <v>40601.5</v>
      </c>
      <c r="AO18" s="340">
        <f t="shared" si="27"/>
        <v>40329.25</v>
      </c>
      <c r="AP18" s="1764">
        <f>SUM(AQ18-AR18)/AR18</f>
        <v>-0.025697504433918196</v>
      </c>
      <c r="AQ18" s="339">
        <f aca="true" t="shared" si="28" ref="AQ18:AW18">AVERAGE(AQ5:AQ16)</f>
        <v>156289</v>
      </c>
      <c r="AR18" s="339">
        <f t="shared" si="28"/>
        <v>160411.16666666666</v>
      </c>
      <c r="AS18" s="339">
        <f t="shared" si="28"/>
        <v>172262.16666666666</v>
      </c>
      <c r="AT18" s="339">
        <f t="shared" si="28"/>
        <v>172203.91666666666</v>
      </c>
      <c r="AU18" s="339">
        <f t="shared" si="28"/>
        <v>149796.66666666666</v>
      </c>
      <c r="AV18" s="339">
        <f t="shared" si="28"/>
        <v>144839</v>
      </c>
      <c r="AW18" s="340">
        <f t="shared" si="28"/>
        <v>122569.5</v>
      </c>
      <c r="DF18" s="1513">
        <f>SUM(DH18-DI18)/DI18</f>
        <v>0.18152014435347572</v>
      </c>
      <c r="DG18" s="1514">
        <f>AVERAGE(DG5:DG16)</f>
        <v>113847</v>
      </c>
      <c r="DH18" s="1514">
        <f>AVERAGE(DH5:DH16)</f>
        <v>144818.33333333334</v>
      </c>
      <c r="DI18" s="1514">
        <f>AVERAGE(DI5:DI16)</f>
        <v>122569.5</v>
      </c>
      <c r="DJ18" s="1514">
        <f>AVERAGE(DJ5:DJ16)</f>
        <v>110022.83333333333</v>
      </c>
    </row>
  </sheetData>
  <mergeCells count="10">
    <mergeCell ref="A1:A2"/>
    <mergeCell ref="DF3:DJ3"/>
    <mergeCell ref="B1:AG1"/>
    <mergeCell ref="AH1:AO1"/>
    <mergeCell ref="AP1:AW1"/>
    <mergeCell ref="B3:I3"/>
    <mergeCell ref="J3:Q3"/>
    <mergeCell ref="R3:Y3"/>
    <mergeCell ref="Z3:AG3"/>
    <mergeCell ref="AH3:AO3"/>
  </mergeCells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0" sqref="D20"/>
    </sheetView>
  </sheetViews>
  <sheetFormatPr defaultColWidth="9.140625" defaultRowHeight="12.75"/>
  <cols>
    <col min="1" max="1" width="16.57421875" style="0" customWidth="1"/>
    <col min="11" max="11" width="11.140625" style="0" bestFit="1" customWidth="1"/>
    <col min="12" max="12" width="9.28125" style="0" bestFit="1" customWidth="1"/>
  </cols>
  <sheetData>
    <row r="1" spans="1:17" ht="13.5" thickBot="1">
      <c r="A1" s="2113" t="s">
        <v>208</v>
      </c>
      <c r="B1" s="2037"/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  <c r="N1" s="1906"/>
      <c r="O1" s="1906"/>
      <c r="P1" s="1906"/>
      <c r="Q1" s="2116"/>
    </row>
    <row r="2" spans="1:17" ht="13.5" thickBot="1">
      <c r="A2" s="2114"/>
      <c r="B2" s="1520" t="s">
        <v>44</v>
      </c>
      <c r="C2" s="1520">
        <v>2008</v>
      </c>
      <c r="D2" s="1520">
        <v>2007</v>
      </c>
      <c r="E2" s="1520">
        <v>2006</v>
      </c>
      <c r="F2" s="1520">
        <v>2005</v>
      </c>
      <c r="G2" s="1520">
        <v>2004</v>
      </c>
      <c r="H2" s="1520">
        <v>2003</v>
      </c>
      <c r="I2" s="1520">
        <v>2002</v>
      </c>
      <c r="J2" s="1521" t="s">
        <v>44</v>
      </c>
      <c r="K2" s="1521">
        <v>2008</v>
      </c>
      <c r="L2" s="1521">
        <v>2007</v>
      </c>
      <c r="M2" s="1521">
        <v>2006</v>
      </c>
      <c r="N2" s="1521">
        <v>2005</v>
      </c>
      <c r="O2" s="1521">
        <v>2004</v>
      </c>
      <c r="P2" s="1521">
        <v>2003</v>
      </c>
      <c r="Q2" s="1521">
        <v>2002</v>
      </c>
    </row>
    <row r="3" spans="1:17" ht="13.5" thickBot="1">
      <c r="A3" s="2115"/>
      <c r="B3" s="2117" t="s">
        <v>51</v>
      </c>
      <c r="C3" s="2093"/>
      <c r="D3" s="2093"/>
      <c r="E3" s="2093"/>
      <c r="F3" s="2093"/>
      <c r="G3" s="2093"/>
      <c r="H3" s="2093"/>
      <c r="I3" s="2118"/>
      <c r="J3" s="2119" t="s">
        <v>143</v>
      </c>
      <c r="K3" s="1869"/>
      <c r="L3" s="1869"/>
      <c r="M3" s="1869"/>
      <c r="N3" s="1869"/>
      <c r="O3" s="1869"/>
      <c r="P3" s="1869"/>
      <c r="Q3" s="1929"/>
    </row>
    <row r="4" spans="1:17" ht="13.5" thickBot="1">
      <c r="A4" s="1522" t="s">
        <v>13</v>
      </c>
      <c r="B4" s="1533">
        <v>0.118</v>
      </c>
      <c r="C4" s="1523">
        <v>80626</v>
      </c>
      <c r="D4" s="1523">
        <v>72085</v>
      </c>
      <c r="E4" s="1523">
        <v>39306</v>
      </c>
      <c r="F4" s="1524">
        <v>36848</v>
      </c>
      <c r="G4" s="1524">
        <v>31844</v>
      </c>
      <c r="H4" s="1524">
        <v>22607</v>
      </c>
      <c r="I4" s="1524">
        <v>24966</v>
      </c>
      <c r="J4" s="1535">
        <v>0.102</v>
      </c>
      <c r="K4" s="1525">
        <v>899866</v>
      </c>
      <c r="L4" s="1525">
        <v>816746</v>
      </c>
      <c r="M4" s="1525">
        <v>508578</v>
      </c>
      <c r="N4" s="1526">
        <v>478998</v>
      </c>
      <c r="O4" s="1526">
        <v>456885</v>
      </c>
      <c r="P4" s="1526">
        <v>343605</v>
      </c>
      <c r="Q4" s="1526">
        <v>350233</v>
      </c>
    </row>
    <row r="5" spans="1:17" ht="13.5" thickBot="1">
      <c r="A5" s="1522" t="s">
        <v>14</v>
      </c>
      <c r="B5" s="1533">
        <v>0.177</v>
      </c>
      <c r="C5" s="1523">
        <v>78769</v>
      </c>
      <c r="D5" s="1523">
        <v>66925</v>
      </c>
      <c r="E5" s="1523">
        <v>40403</v>
      </c>
      <c r="F5" s="1524">
        <v>34637</v>
      </c>
      <c r="G5" s="1524">
        <v>34608</v>
      </c>
      <c r="H5" s="1524">
        <v>25865</v>
      </c>
      <c r="I5" s="1524">
        <v>29055</v>
      </c>
      <c r="J5" s="1536">
        <v>0.153</v>
      </c>
      <c r="K5" s="1526">
        <v>984990</v>
      </c>
      <c r="L5" s="1525">
        <v>854415</v>
      </c>
      <c r="M5" s="1525">
        <v>594414</v>
      </c>
      <c r="N5" s="1526">
        <v>570271</v>
      </c>
      <c r="O5" s="1526">
        <v>608631</v>
      </c>
      <c r="P5" s="1526">
        <v>474054</v>
      </c>
      <c r="Q5" s="1526">
        <v>499060</v>
      </c>
    </row>
    <row r="6" spans="1:17" ht="13.5" thickBot="1">
      <c r="A6" s="1522" t="s">
        <v>15</v>
      </c>
      <c r="B6" s="1533">
        <v>0.264</v>
      </c>
      <c r="C6" s="1523">
        <v>99450</v>
      </c>
      <c r="D6" s="1523">
        <v>78703</v>
      </c>
      <c r="E6" s="1523">
        <v>52110</v>
      </c>
      <c r="F6" s="1524">
        <v>38738</v>
      </c>
      <c r="G6" s="1524">
        <v>38295</v>
      </c>
      <c r="H6" s="1524">
        <v>31367</v>
      </c>
      <c r="I6" s="1524">
        <v>35653</v>
      </c>
      <c r="J6" s="1536">
        <v>0.144</v>
      </c>
      <c r="K6" s="1525">
        <v>1223252</v>
      </c>
      <c r="L6" s="1525">
        <v>1069517</v>
      </c>
      <c r="M6" s="1525">
        <v>852828</v>
      </c>
      <c r="N6" s="1526">
        <v>739486</v>
      </c>
      <c r="O6" s="1526">
        <v>773338</v>
      </c>
      <c r="P6" s="1526">
        <v>682257</v>
      </c>
      <c r="Q6" s="1526">
        <v>676490</v>
      </c>
    </row>
    <row r="7" spans="1:17" ht="13.5" thickBot="1">
      <c r="A7" s="1522" t="s">
        <v>16</v>
      </c>
      <c r="B7" s="1533">
        <v>0.321</v>
      </c>
      <c r="C7" s="1523">
        <v>91631</v>
      </c>
      <c r="D7" s="1523">
        <v>69344</v>
      </c>
      <c r="E7" s="1523">
        <v>52843</v>
      </c>
      <c r="F7" s="1524">
        <v>35648</v>
      </c>
      <c r="G7" s="1524">
        <v>35513</v>
      </c>
      <c r="H7" s="1524">
        <v>29188</v>
      </c>
      <c r="I7" s="1524">
        <v>31540</v>
      </c>
      <c r="J7" s="1536">
        <v>0.354</v>
      </c>
      <c r="K7" s="1525">
        <v>1165866</v>
      </c>
      <c r="L7" s="1525">
        <v>861329</v>
      </c>
      <c r="M7" s="1525">
        <v>766206</v>
      </c>
      <c r="N7" s="1526">
        <v>636821</v>
      </c>
      <c r="O7" s="1526">
        <v>634192</v>
      </c>
      <c r="P7" s="1526">
        <v>563907</v>
      </c>
      <c r="Q7" s="1526">
        <v>566025</v>
      </c>
    </row>
    <row r="8" spans="1:17" ht="13.5" thickBot="1">
      <c r="A8" s="1522" t="s">
        <v>17</v>
      </c>
      <c r="B8" s="1533">
        <v>0.138</v>
      </c>
      <c r="C8" s="1523">
        <v>83402</v>
      </c>
      <c r="D8" s="1523">
        <v>73300</v>
      </c>
      <c r="E8" s="1523">
        <v>51648</v>
      </c>
      <c r="F8" s="1524">
        <v>32357</v>
      </c>
      <c r="G8" s="1524">
        <v>35855</v>
      </c>
      <c r="H8" s="1524">
        <v>31828</v>
      </c>
      <c r="I8" s="1524">
        <v>28179</v>
      </c>
      <c r="J8" s="1536">
        <v>0.139</v>
      </c>
      <c r="K8" s="1525">
        <v>933314</v>
      </c>
      <c r="L8" s="1525">
        <v>819122</v>
      </c>
      <c r="M8" s="1525">
        <v>681829</v>
      </c>
      <c r="N8" s="1526">
        <v>454507</v>
      </c>
      <c r="O8" s="1526">
        <v>576743</v>
      </c>
      <c r="P8" s="1526">
        <v>507393</v>
      </c>
      <c r="Q8" s="1526">
        <v>437240</v>
      </c>
    </row>
    <row r="9" spans="1:17" ht="13.5" thickBot="1">
      <c r="A9" s="1522" t="s">
        <v>18</v>
      </c>
      <c r="B9" s="1533">
        <v>0.352</v>
      </c>
      <c r="C9" s="1592">
        <v>80564</v>
      </c>
      <c r="D9" s="1524">
        <v>59595</v>
      </c>
      <c r="E9" s="1524">
        <v>46474</v>
      </c>
      <c r="F9" s="1524">
        <v>26954</v>
      </c>
      <c r="G9" s="1524">
        <v>28687</v>
      </c>
      <c r="H9" s="1524">
        <v>23847</v>
      </c>
      <c r="I9" s="1524">
        <v>24911</v>
      </c>
      <c r="J9" s="1536">
        <v>0.263</v>
      </c>
      <c r="K9" s="1593">
        <v>924563</v>
      </c>
      <c r="L9" s="1526">
        <v>732211</v>
      </c>
      <c r="M9" s="1526">
        <v>623845</v>
      </c>
      <c r="N9" s="1526">
        <v>382843</v>
      </c>
      <c r="O9" s="1526">
        <v>393014</v>
      </c>
      <c r="P9" s="1526">
        <v>359561</v>
      </c>
      <c r="Q9" s="1526">
        <v>369516</v>
      </c>
    </row>
    <row r="10" spans="1:17" ht="13.5" thickBot="1">
      <c r="A10" s="1522" t="s">
        <v>19</v>
      </c>
      <c r="B10" s="1533" t="s">
        <v>223</v>
      </c>
      <c r="C10" s="1524">
        <v>83761</v>
      </c>
      <c r="D10" s="1524">
        <v>73562</v>
      </c>
      <c r="E10" s="1524">
        <v>48704</v>
      </c>
      <c r="F10" s="1524">
        <v>28633</v>
      </c>
      <c r="G10" s="1524">
        <v>34539</v>
      </c>
      <c r="H10" s="1524">
        <v>27779</v>
      </c>
      <c r="I10" s="1524">
        <v>25710</v>
      </c>
      <c r="J10" s="1536">
        <v>0.189</v>
      </c>
      <c r="K10" s="1525">
        <v>926967</v>
      </c>
      <c r="L10" s="1526">
        <v>779294</v>
      </c>
      <c r="M10" s="1526">
        <v>553891</v>
      </c>
      <c r="N10" s="1526">
        <v>404935</v>
      </c>
      <c r="O10" s="1526">
        <v>460987</v>
      </c>
      <c r="P10" s="1526">
        <v>393089</v>
      </c>
      <c r="Q10" s="1526">
        <v>382002</v>
      </c>
    </row>
    <row r="11" spans="1:17" ht="13.5" thickBot="1">
      <c r="A11" s="1522" t="s">
        <v>20</v>
      </c>
      <c r="B11" s="1533"/>
      <c r="C11" s="1527"/>
      <c r="D11" s="1524">
        <v>67355</v>
      </c>
      <c r="E11" s="1524">
        <v>57177</v>
      </c>
      <c r="F11" s="1524">
        <v>29956</v>
      </c>
      <c r="G11" s="1524">
        <v>33909</v>
      </c>
      <c r="H11" s="1524">
        <v>24876</v>
      </c>
      <c r="I11" s="1524">
        <v>20477</v>
      </c>
      <c r="J11" s="1536"/>
      <c r="K11" s="1528"/>
      <c r="L11" s="1526">
        <v>747104</v>
      </c>
      <c r="M11" s="1526">
        <v>676272</v>
      </c>
      <c r="N11" s="1526">
        <v>448485</v>
      </c>
      <c r="O11" s="1526">
        <v>439960</v>
      </c>
      <c r="P11" s="1526">
        <v>335323</v>
      </c>
      <c r="Q11" s="1526">
        <v>295501</v>
      </c>
    </row>
    <row r="12" spans="1:17" ht="13.5" thickBot="1">
      <c r="A12" s="1522" t="s">
        <v>21</v>
      </c>
      <c r="B12" s="1533"/>
      <c r="C12" s="1527"/>
      <c r="D12" s="1524">
        <v>66614</v>
      </c>
      <c r="E12" s="1524">
        <v>56287</v>
      </c>
      <c r="F12" s="1524">
        <v>26406</v>
      </c>
      <c r="G12" s="1524">
        <v>26305</v>
      </c>
      <c r="H12" s="1524">
        <v>23961</v>
      </c>
      <c r="I12" s="1524">
        <v>19241</v>
      </c>
      <c r="J12" s="1536"/>
      <c r="K12" s="1528"/>
      <c r="L12" s="1526">
        <v>727672</v>
      </c>
      <c r="M12" s="1526">
        <v>643589</v>
      </c>
      <c r="N12" s="1526">
        <v>382452</v>
      </c>
      <c r="O12" s="1526">
        <v>445112</v>
      </c>
      <c r="P12" s="1526">
        <v>345341</v>
      </c>
      <c r="Q12" s="1526">
        <v>253535</v>
      </c>
    </row>
    <row r="13" spans="1:17" ht="13.5" thickBot="1">
      <c r="A13" s="1522" t="s">
        <v>22</v>
      </c>
      <c r="B13" s="1533"/>
      <c r="C13" s="1527"/>
      <c r="D13" s="1524">
        <v>68053</v>
      </c>
      <c r="E13" s="1524">
        <v>59748</v>
      </c>
      <c r="F13" s="1524">
        <v>29970</v>
      </c>
      <c r="G13" s="1524">
        <v>31145</v>
      </c>
      <c r="H13" s="1524">
        <v>25852</v>
      </c>
      <c r="I13" s="1524">
        <v>21338</v>
      </c>
      <c r="J13" s="1536"/>
      <c r="K13" s="1528"/>
      <c r="L13" s="1526">
        <v>703468</v>
      </c>
      <c r="M13" s="1526">
        <v>736283</v>
      </c>
      <c r="N13" s="1526">
        <v>424762</v>
      </c>
      <c r="O13" s="1526">
        <v>421541</v>
      </c>
      <c r="P13" s="1526">
        <v>345944</v>
      </c>
      <c r="Q13" s="1526">
        <v>276083</v>
      </c>
    </row>
    <row r="14" spans="1:17" ht="13.5" thickBot="1">
      <c r="A14" s="1522" t="s">
        <v>23</v>
      </c>
      <c r="B14" s="1533"/>
      <c r="C14" s="1527"/>
      <c r="D14" s="1524">
        <v>72394</v>
      </c>
      <c r="E14" s="1524">
        <v>54665</v>
      </c>
      <c r="F14" s="1524">
        <v>28033</v>
      </c>
      <c r="G14" s="1524">
        <v>27922</v>
      </c>
      <c r="H14" s="1524">
        <v>25223</v>
      </c>
      <c r="I14" s="1524">
        <v>17529</v>
      </c>
      <c r="J14" s="1536"/>
      <c r="K14" s="1528"/>
      <c r="L14" s="1526">
        <v>717776</v>
      </c>
      <c r="M14" s="1526">
        <v>642302</v>
      </c>
      <c r="N14" s="1526">
        <v>397903</v>
      </c>
      <c r="O14" s="1526">
        <v>372213</v>
      </c>
      <c r="P14" s="1526">
        <v>389661</v>
      </c>
      <c r="Q14" s="1526">
        <v>217982</v>
      </c>
    </row>
    <row r="15" spans="1:17" ht="13.5" thickBot="1">
      <c r="A15" s="1529" t="s">
        <v>24</v>
      </c>
      <c r="B15" s="1533"/>
      <c r="C15" s="1527"/>
      <c r="D15" s="1524">
        <v>77304</v>
      </c>
      <c r="E15" s="1524">
        <v>55476</v>
      </c>
      <c r="F15" s="1524">
        <v>29095</v>
      </c>
      <c r="G15" s="1524">
        <v>29731</v>
      </c>
      <c r="H15" s="1524">
        <v>26975</v>
      </c>
      <c r="I15" s="1524">
        <v>21432</v>
      </c>
      <c r="J15" s="1536"/>
      <c r="K15" s="1528"/>
      <c r="L15" s="1526">
        <v>885066</v>
      </c>
      <c r="M15" s="1526">
        <v>691230</v>
      </c>
      <c r="N15" s="1526">
        <v>377992</v>
      </c>
      <c r="O15" s="1526">
        <v>470213</v>
      </c>
      <c r="P15" s="1526">
        <v>363372</v>
      </c>
      <c r="Q15" s="1526">
        <v>341791</v>
      </c>
    </row>
    <row r="16" spans="1:17" ht="13.5" thickBot="1">
      <c r="A16" s="1530" t="s">
        <v>25</v>
      </c>
      <c r="B16" s="1534">
        <v>0.204</v>
      </c>
      <c r="C16" s="1531">
        <f>SUM(C4:C9)</f>
        <v>514442</v>
      </c>
      <c r="D16" s="1531">
        <f aca="true" t="shared" si="0" ref="D16:I16">SUM(D4:D9)</f>
        <v>419952</v>
      </c>
      <c r="E16" s="1531">
        <f t="shared" si="0"/>
        <v>282784</v>
      </c>
      <c r="F16" s="1531">
        <f t="shared" si="0"/>
        <v>205182</v>
      </c>
      <c r="G16" s="1531">
        <f t="shared" si="0"/>
        <v>204802</v>
      </c>
      <c r="H16" s="1531">
        <f t="shared" si="0"/>
        <v>164702</v>
      </c>
      <c r="I16" s="1531">
        <f t="shared" si="0"/>
        <v>174304</v>
      </c>
      <c r="J16" s="1537">
        <v>0.1778</v>
      </c>
      <c r="K16" s="1531">
        <f>SUM(K4:K9)</f>
        <v>6131851</v>
      </c>
      <c r="L16" s="1531">
        <f aca="true" t="shared" si="1" ref="L16:Q16">SUM(L4:L9)</f>
        <v>5153340</v>
      </c>
      <c r="M16" s="1531">
        <f t="shared" si="1"/>
        <v>4027700</v>
      </c>
      <c r="N16" s="1531">
        <f t="shared" si="1"/>
        <v>3262926</v>
      </c>
      <c r="O16" s="1531">
        <f t="shared" si="1"/>
        <v>3442803</v>
      </c>
      <c r="P16" s="1531">
        <f t="shared" si="1"/>
        <v>2930777</v>
      </c>
      <c r="Q16" s="1531">
        <f t="shared" si="1"/>
        <v>2898564</v>
      </c>
    </row>
    <row r="17" spans="1:17" ht="13.5" thickBot="1">
      <c r="A17" s="1532" t="s">
        <v>28</v>
      </c>
      <c r="B17" s="1534">
        <v>0.232</v>
      </c>
      <c r="C17" s="1531">
        <f>AVERAGE(C4:C15)</f>
        <v>85457.57142857143</v>
      </c>
      <c r="D17" s="1531">
        <f aca="true" t="shared" si="2" ref="D17:I17">AVERAGE(D4:D15)</f>
        <v>70436.16666666667</v>
      </c>
      <c r="E17" s="1531">
        <f t="shared" si="2"/>
        <v>51236.75</v>
      </c>
      <c r="F17" s="1531">
        <f t="shared" si="2"/>
        <v>31439.583333333332</v>
      </c>
      <c r="G17" s="1531">
        <f t="shared" si="2"/>
        <v>32362.75</v>
      </c>
      <c r="H17" s="1531">
        <f t="shared" si="2"/>
        <v>26614</v>
      </c>
      <c r="I17" s="1531">
        <f t="shared" si="2"/>
        <v>25002.583333333332</v>
      </c>
      <c r="J17" s="1537">
        <v>0.2866</v>
      </c>
      <c r="K17" s="1531">
        <f>AVERAGE(K4:K15)</f>
        <v>1008402.5714285715</v>
      </c>
      <c r="L17" s="1531">
        <f aca="true" t="shared" si="3" ref="L17:Q17">AVERAGE(L4:L15)</f>
        <v>809476.6666666666</v>
      </c>
      <c r="M17" s="1531">
        <f t="shared" si="3"/>
        <v>664272.25</v>
      </c>
      <c r="N17" s="1531">
        <f t="shared" si="3"/>
        <v>474954.5833333333</v>
      </c>
      <c r="O17" s="1531">
        <f t="shared" si="3"/>
        <v>504402.4166666667</v>
      </c>
      <c r="P17" s="1531">
        <f t="shared" si="3"/>
        <v>425292.25</v>
      </c>
      <c r="Q17" s="1531">
        <f t="shared" si="3"/>
        <v>388788.1666666667</v>
      </c>
    </row>
    <row r="18" spans="1:17" s="318" customFormat="1" ht="12.75">
      <c r="A18" s="319"/>
      <c r="B18" s="1538"/>
      <c r="C18" s="1539"/>
      <c r="D18" s="1539"/>
      <c r="E18" s="1539"/>
      <c r="F18" s="1539"/>
      <c r="G18" s="1539"/>
      <c r="H18" s="1539"/>
      <c r="I18" s="1539"/>
      <c r="J18" s="1538"/>
      <c r="K18" s="1539"/>
      <c r="L18" s="1539"/>
      <c r="M18" s="1539"/>
      <c r="N18" s="1539"/>
      <c r="O18" s="1539"/>
      <c r="P18" s="1539"/>
      <c r="Q18" s="1539"/>
    </row>
  </sheetData>
  <mergeCells count="4">
    <mergeCell ref="A1:A3"/>
    <mergeCell ref="B1:Q1"/>
    <mergeCell ref="B3:I3"/>
    <mergeCell ref="J3:Q3"/>
  </mergeCells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L9" sqref="L9:M9"/>
    </sheetView>
  </sheetViews>
  <sheetFormatPr defaultColWidth="9.140625" defaultRowHeight="12.75"/>
  <cols>
    <col min="1" max="1" width="14.57421875" style="0" customWidth="1"/>
    <col min="2" max="2" width="7.00390625" style="0" bestFit="1" customWidth="1"/>
    <col min="3" max="4" width="7.7109375" style="0" customWidth="1"/>
    <col min="5" max="5" width="7.00390625" style="0" bestFit="1" customWidth="1"/>
    <col min="6" max="7" width="7.7109375" style="0" customWidth="1"/>
    <col min="8" max="8" width="7.00390625" style="0" bestFit="1" customWidth="1"/>
    <col min="9" max="10" width="7.8515625" style="0" bestFit="1" customWidth="1"/>
    <col min="11" max="11" width="7.00390625" style="0" bestFit="1" customWidth="1"/>
    <col min="12" max="13" width="7.7109375" style="0" customWidth="1"/>
    <col min="14" max="14" width="7.00390625" style="0" bestFit="1" customWidth="1"/>
    <col min="15" max="16" width="7.8515625" style="0" bestFit="1" customWidth="1"/>
  </cols>
  <sheetData>
    <row r="1" spans="1:16" s="165" customFormat="1" ht="12" thickBot="1">
      <c r="A1" s="2120" t="s">
        <v>190</v>
      </c>
      <c r="B1" s="1890" t="s">
        <v>93</v>
      </c>
      <c r="C1" s="1896"/>
      <c r="D1" s="1896"/>
      <c r="E1" s="1896"/>
      <c r="F1" s="1896"/>
      <c r="G1" s="1896"/>
      <c r="H1" s="1890" t="s">
        <v>2</v>
      </c>
      <c r="I1" s="1896"/>
      <c r="J1" s="1896"/>
      <c r="K1" s="1896" t="s">
        <v>3</v>
      </c>
      <c r="L1" s="1896"/>
      <c r="M1" s="1896"/>
      <c r="N1" s="1890" t="s">
        <v>4</v>
      </c>
      <c r="O1" s="1896"/>
      <c r="P1" s="1896"/>
    </row>
    <row r="2" spans="1:16" s="165" customFormat="1" ht="12" thickBot="1">
      <c r="A2" s="2121"/>
      <c r="B2" s="308" t="s">
        <v>44</v>
      </c>
      <c r="C2" s="304">
        <v>2008</v>
      </c>
      <c r="D2" s="304">
        <v>2007</v>
      </c>
      <c r="E2" s="365" t="s">
        <v>44</v>
      </c>
      <c r="F2" s="366">
        <v>2008</v>
      </c>
      <c r="G2" s="366">
        <v>2007</v>
      </c>
      <c r="H2" s="369" t="s">
        <v>44</v>
      </c>
      <c r="I2" s="370">
        <v>2007</v>
      </c>
      <c r="J2" s="370">
        <v>2007</v>
      </c>
      <c r="K2" s="374" t="s">
        <v>44</v>
      </c>
      <c r="L2" s="375">
        <v>2008</v>
      </c>
      <c r="M2" s="375">
        <v>2007</v>
      </c>
      <c r="N2" s="276" t="s">
        <v>44</v>
      </c>
      <c r="O2" s="378">
        <v>2007</v>
      </c>
      <c r="P2" s="378">
        <v>2007</v>
      </c>
    </row>
    <row r="3" spans="1:16" s="543" customFormat="1" ht="11.25">
      <c r="A3" s="750" t="s">
        <v>13</v>
      </c>
      <c r="B3" s="359">
        <f aca="true" t="shared" si="0" ref="B3:B9">SUM(C3-D3)/D3</f>
        <v>-0.012805729198276385</v>
      </c>
      <c r="C3" s="1206">
        <v>97596</v>
      </c>
      <c r="D3" s="1206">
        <v>98862</v>
      </c>
      <c r="E3" s="360">
        <f aca="true" t="shared" si="1" ref="E3:E9">SUM(F3-G3)/G3</f>
        <v>0.08634451181784433</v>
      </c>
      <c r="F3" s="678">
        <v>70230</v>
      </c>
      <c r="G3" s="678">
        <v>64648</v>
      </c>
      <c r="H3" s="169">
        <f aca="true" t="shared" si="2" ref="H3:H9">SUM(I3-J3)/J3</f>
        <v>0.026395939086294416</v>
      </c>
      <c r="I3" s="373">
        <f aca="true" t="shared" si="3" ref="I3:J5">+C3+F3</f>
        <v>167826</v>
      </c>
      <c r="J3" s="373">
        <f t="shared" si="3"/>
        <v>163510</v>
      </c>
      <c r="K3" s="170">
        <f aca="true" t="shared" si="4" ref="K3:K9">SUM(L3-M3)/M3</f>
        <v>-0.10541757296777783</v>
      </c>
      <c r="L3" s="1207">
        <v>17685</v>
      </c>
      <c r="M3" s="1207">
        <v>19769</v>
      </c>
      <c r="N3" s="52">
        <f aca="true" t="shared" si="5" ref="N3:N9">SUM(O3-P3)/P3</f>
        <v>0.012178154616731867</v>
      </c>
      <c r="O3" s="121">
        <f aca="true" t="shared" si="6" ref="O3:P5">+I3+L3</f>
        <v>185511</v>
      </c>
      <c r="P3" s="121">
        <f t="shared" si="6"/>
        <v>183279</v>
      </c>
    </row>
    <row r="4" spans="1:16" s="543" customFormat="1" ht="11.25">
      <c r="A4" s="762" t="s">
        <v>14</v>
      </c>
      <c r="B4" s="359">
        <f t="shared" si="0"/>
        <v>0.03636088098605779</v>
      </c>
      <c r="C4" s="1206">
        <v>102579</v>
      </c>
      <c r="D4" s="1206">
        <v>98980</v>
      </c>
      <c r="E4" s="360">
        <f t="shared" si="1"/>
        <v>0.24108219379503015</v>
      </c>
      <c r="F4" s="678">
        <v>84406</v>
      </c>
      <c r="G4" s="678">
        <v>68010</v>
      </c>
      <c r="H4" s="169">
        <f t="shared" si="2"/>
        <v>0.11973770884484101</v>
      </c>
      <c r="I4" s="373">
        <f t="shared" si="3"/>
        <v>186985</v>
      </c>
      <c r="J4" s="373">
        <f t="shared" si="3"/>
        <v>166990</v>
      </c>
      <c r="K4" s="170">
        <f t="shared" si="4"/>
        <v>0.23586808040070253</v>
      </c>
      <c r="L4" s="1207">
        <v>18999</v>
      </c>
      <c r="M4" s="1207">
        <v>15373</v>
      </c>
      <c r="N4" s="52">
        <f t="shared" si="5"/>
        <v>0.129527371232103</v>
      </c>
      <c r="O4" s="121">
        <f t="shared" si="6"/>
        <v>205984</v>
      </c>
      <c r="P4" s="121">
        <f t="shared" si="6"/>
        <v>182363</v>
      </c>
    </row>
    <row r="5" spans="1:16" s="543" customFormat="1" ht="11.25">
      <c r="A5" s="762" t="s">
        <v>15</v>
      </c>
      <c r="B5" s="359">
        <f t="shared" si="0"/>
        <v>0.03826567892352485</v>
      </c>
      <c r="C5" s="352">
        <v>92361</v>
      </c>
      <c r="D5" s="352">
        <v>88957</v>
      </c>
      <c r="E5" s="360">
        <f t="shared" si="1"/>
        <v>0.15555586639064511</v>
      </c>
      <c r="F5" s="329">
        <v>82613</v>
      </c>
      <c r="G5" s="329">
        <v>71492</v>
      </c>
      <c r="H5" s="169">
        <f t="shared" si="2"/>
        <v>0.0905272080224869</v>
      </c>
      <c r="I5" s="373">
        <f t="shared" si="3"/>
        <v>174974</v>
      </c>
      <c r="J5" s="373">
        <f t="shared" si="3"/>
        <v>160449</v>
      </c>
      <c r="K5" s="170">
        <f t="shared" si="4"/>
        <v>-0.2669324577861163</v>
      </c>
      <c r="L5" s="353">
        <v>15629</v>
      </c>
      <c r="M5" s="353">
        <v>21320</v>
      </c>
      <c r="N5" s="52">
        <f t="shared" si="5"/>
        <v>0.04860014633958486</v>
      </c>
      <c r="O5" s="121">
        <f t="shared" si="6"/>
        <v>190603</v>
      </c>
      <c r="P5" s="121">
        <f t="shared" si="6"/>
        <v>181769</v>
      </c>
    </row>
    <row r="6" spans="1:16" s="543" customFormat="1" ht="11.25">
      <c r="A6" s="762" t="s">
        <v>16</v>
      </c>
      <c r="B6" s="359">
        <f t="shared" si="0"/>
        <v>0.0526048532786485</v>
      </c>
      <c r="C6" s="352">
        <v>107792</v>
      </c>
      <c r="D6" s="352">
        <v>102405</v>
      </c>
      <c r="E6" s="360">
        <f t="shared" si="1"/>
        <v>0.07059923437480259</v>
      </c>
      <c r="F6" s="329">
        <v>84739</v>
      </c>
      <c r="G6" s="329">
        <v>79151</v>
      </c>
      <c r="H6" s="169">
        <f t="shared" si="2"/>
        <v>0.060449668421864326</v>
      </c>
      <c r="I6" s="373">
        <f aca="true" t="shared" si="7" ref="I6:J9">+C6+F6</f>
        <v>192531</v>
      </c>
      <c r="J6" s="373">
        <f t="shared" si="7"/>
        <v>181556</v>
      </c>
      <c r="K6" s="170">
        <f t="shared" si="4"/>
        <v>-0.1669825625473844</v>
      </c>
      <c r="L6" s="353">
        <v>21975</v>
      </c>
      <c r="M6" s="353">
        <v>26380</v>
      </c>
      <c r="N6" s="52">
        <f t="shared" si="5"/>
        <v>0.03159626038781163</v>
      </c>
      <c r="O6" s="121">
        <f aca="true" t="shared" si="8" ref="O6:P9">+I6+L6</f>
        <v>214506</v>
      </c>
      <c r="P6" s="121">
        <f t="shared" si="8"/>
        <v>207936</v>
      </c>
    </row>
    <row r="7" spans="1:16" s="543" customFormat="1" ht="11.25">
      <c r="A7" s="762" t="s">
        <v>17</v>
      </c>
      <c r="B7" s="359">
        <f t="shared" si="0"/>
        <v>0.0564817684123541</v>
      </c>
      <c r="C7" s="352">
        <v>102278</v>
      </c>
      <c r="D7" s="352">
        <v>96810</v>
      </c>
      <c r="E7" s="360">
        <f t="shared" si="1"/>
        <v>0.06385733973292781</v>
      </c>
      <c r="F7" s="329">
        <v>89547</v>
      </c>
      <c r="G7" s="329">
        <v>84172</v>
      </c>
      <c r="H7" s="169">
        <f t="shared" si="2"/>
        <v>0.05991203545103933</v>
      </c>
      <c r="I7" s="373">
        <f t="shared" si="7"/>
        <v>191825</v>
      </c>
      <c r="J7" s="373">
        <f t="shared" si="7"/>
        <v>180982</v>
      </c>
      <c r="K7" s="170">
        <f t="shared" si="4"/>
        <v>-0.1663103128786259</v>
      </c>
      <c r="L7" s="353">
        <v>23395</v>
      </c>
      <c r="M7" s="353">
        <v>28062</v>
      </c>
      <c r="N7" s="52">
        <f t="shared" si="5"/>
        <v>0.029544019440883258</v>
      </c>
      <c r="O7" s="121">
        <f t="shared" si="8"/>
        <v>215220</v>
      </c>
      <c r="P7" s="121">
        <f t="shared" si="8"/>
        <v>209044</v>
      </c>
    </row>
    <row r="8" spans="1:16" s="543" customFormat="1" ht="11.25">
      <c r="A8" s="762" t="s">
        <v>18</v>
      </c>
      <c r="B8" s="359">
        <f t="shared" si="0"/>
        <v>-0.016944568785437184</v>
      </c>
      <c r="C8" s="352">
        <v>105415</v>
      </c>
      <c r="D8" s="352">
        <v>107232</v>
      </c>
      <c r="E8" s="360">
        <f t="shared" si="1"/>
        <v>0.053194360549550825</v>
      </c>
      <c r="F8" s="329">
        <v>81948</v>
      </c>
      <c r="G8" s="329">
        <v>77809</v>
      </c>
      <c r="H8" s="372">
        <f t="shared" si="2"/>
        <v>0.012548570316848699</v>
      </c>
      <c r="I8" s="373">
        <f t="shared" si="7"/>
        <v>187363</v>
      </c>
      <c r="J8" s="373">
        <f t="shared" si="7"/>
        <v>185041</v>
      </c>
      <c r="K8" s="170">
        <f t="shared" si="4"/>
        <v>0.021914453405396276</v>
      </c>
      <c r="L8" s="353">
        <v>24202</v>
      </c>
      <c r="M8" s="353">
        <v>23683</v>
      </c>
      <c r="N8" s="120">
        <f t="shared" si="5"/>
        <v>0.013611276134991664</v>
      </c>
      <c r="O8" s="121">
        <f t="shared" si="8"/>
        <v>211565</v>
      </c>
      <c r="P8" s="121">
        <f t="shared" si="8"/>
        <v>208724</v>
      </c>
    </row>
    <row r="9" spans="1:16" s="543" customFormat="1" ht="11.25">
      <c r="A9" s="762" t="s">
        <v>19</v>
      </c>
      <c r="B9" s="359">
        <f t="shared" si="0"/>
        <v>0.027430271605797505</v>
      </c>
      <c r="C9" s="352">
        <v>118099</v>
      </c>
      <c r="D9" s="352">
        <v>114946</v>
      </c>
      <c r="E9" s="360">
        <f t="shared" si="1"/>
        <v>0.0006086041410440097</v>
      </c>
      <c r="F9" s="329">
        <v>78917</v>
      </c>
      <c r="G9" s="329">
        <v>78869</v>
      </c>
      <c r="H9" s="372">
        <f t="shared" si="2"/>
        <v>0.016515749554988003</v>
      </c>
      <c r="I9" s="373">
        <f t="shared" si="7"/>
        <v>197016</v>
      </c>
      <c r="J9" s="373">
        <f t="shared" si="7"/>
        <v>193815</v>
      </c>
      <c r="K9" s="170">
        <f t="shared" si="4"/>
        <v>0.09331947971984915</v>
      </c>
      <c r="L9" s="353">
        <v>28411</v>
      </c>
      <c r="M9" s="353">
        <v>25986</v>
      </c>
      <c r="N9" s="120">
        <f t="shared" si="5"/>
        <v>0.02559587990955455</v>
      </c>
      <c r="O9" s="121">
        <f t="shared" si="8"/>
        <v>225427</v>
      </c>
      <c r="P9" s="121">
        <f t="shared" si="8"/>
        <v>219801</v>
      </c>
    </row>
    <row r="10" spans="1:16" s="543" customFormat="1" ht="11.25">
      <c r="A10" s="762" t="s">
        <v>20</v>
      </c>
      <c r="B10" s="359"/>
      <c r="C10" s="352"/>
      <c r="D10" s="352"/>
      <c r="E10" s="360"/>
      <c r="F10" s="329"/>
      <c r="G10" s="329"/>
      <c r="H10" s="372"/>
      <c r="I10" s="373"/>
      <c r="J10" s="373"/>
      <c r="K10" s="170"/>
      <c r="L10" s="353"/>
      <c r="M10" s="353"/>
      <c r="N10" s="120"/>
      <c r="O10" s="121"/>
      <c r="P10" s="121"/>
    </row>
    <row r="11" spans="1:16" s="543" customFormat="1" ht="11.25">
      <c r="A11" s="762" t="s">
        <v>21</v>
      </c>
      <c r="B11" s="359"/>
      <c r="C11" s="352"/>
      <c r="D11" s="352"/>
      <c r="E11" s="360"/>
      <c r="F11" s="329"/>
      <c r="G11" s="329"/>
      <c r="H11" s="372"/>
      <c r="I11" s="373"/>
      <c r="J11" s="373"/>
      <c r="K11" s="170"/>
      <c r="L11" s="353"/>
      <c r="M11" s="353"/>
      <c r="N11" s="120"/>
      <c r="O11" s="121"/>
      <c r="P11" s="121"/>
    </row>
    <row r="12" spans="1:16" s="543" customFormat="1" ht="11.25">
      <c r="A12" s="762" t="s">
        <v>22</v>
      </c>
      <c r="B12" s="359"/>
      <c r="C12" s="352"/>
      <c r="D12" s="352"/>
      <c r="E12" s="360"/>
      <c r="F12" s="329"/>
      <c r="G12" s="329"/>
      <c r="H12" s="372"/>
      <c r="I12" s="373"/>
      <c r="J12" s="373"/>
      <c r="K12" s="170"/>
      <c r="L12" s="353"/>
      <c r="M12" s="353"/>
      <c r="N12" s="120"/>
      <c r="O12" s="121"/>
      <c r="P12" s="121"/>
    </row>
    <row r="13" spans="1:16" s="543" customFormat="1" ht="11.25">
      <c r="A13" s="762" t="s">
        <v>23</v>
      </c>
      <c r="B13" s="359"/>
      <c r="C13" s="352"/>
      <c r="D13" s="352"/>
      <c r="E13" s="360"/>
      <c r="F13" s="329"/>
      <c r="G13" s="329"/>
      <c r="H13" s="372"/>
      <c r="I13" s="373"/>
      <c r="J13" s="373"/>
      <c r="K13" s="170"/>
      <c r="L13" s="353"/>
      <c r="M13" s="353"/>
      <c r="N13" s="120"/>
      <c r="O13" s="121"/>
      <c r="P13" s="121"/>
    </row>
    <row r="14" spans="1:16" s="543" customFormat="1" ht="12" thickBot="1">
      <c r="A14" s="1205" t="s">
        <v>24</v>
      </c>
      <c r="B14" s="1033"/>
      <c r="C14" s="1032"/>
      <c r="D14" s="1032"/>
      <c r="E14" s="1034"/>
      <c r="F14" s="1035"/>
      <c r="G14" s="1035"/>
      <c r="H14" s="423"/>
      <c r="I14" s="424"/>
      <c r="J14" s="424"/>
      <c r="K14" s="1042"/>
      <c r="L14" s="1043"/>
      <c r="M14" s="1043"/>
      <c r="N14" s="402"/>
      <c r="O14" s="555"/>
      <c r="P14" s="555"/>
    </row>
    <row r="15" spans="1:16" s="547" customFormat="1" ht="11.25">
      <c r="A15" s="309" t="s">
        <v>25</v>
      </c>
      <c r="B15" s="464">
        <f>SUM(C15-D15)/D15</f>
        <v>0.025315168767791784</v>
      </c>
      <c r="C15" s="399">
        <f>SUM(C3:C9)</f>
        <v>726120</v>
      </c>
      <c r="D15" s="399">
        <f>SUM(D3:D9)</f>
        <v>708192</v>
      </c>
      <c r="E15" s="464">
        <f>SUM(F15-G15)/G15</f>
        <v>0.09205171792098078</v>
      </c>
      <c r="F15" s="399">
        <f>SUM(F3:F9)</f>
        <v>572400</v>
      </c>
      <c r="G15" s="399">
        <f>SUM(G3:G9)</f>
        <v>524151</v>
      </c>
      <c r="H15" s="464">
        <f>SUM(I15-J15)/J15</f>
        <v>0.05370014679354693</v>
      </c>
      <c r="I15" s="399">
        <f>+C15+F15</f>
        <v>1298520</v>
      </c>
      <c r="J15" s="400">
        <f>+D15+G15</f>
        <v>1232343</v>
      </c>
      <c r="K15" s="464">
        <f>SUM(L15-M15)/M15</f>
        <v>-0.06400204268463565</v>
      </c>
      <c r="L15" s="399">
        <f>SUM(L3:L9)</f>
        <v>150296</v>
      </c>
      <c r="M15" s="399">
        <f>SUM(M3:M9)</f>
        <v>160573</v>
      </c>
      <c r="N15" s="464">
        <f>SUM(O15-P15)/P15</f>
        <v>0.04013163751439426</v>
      </c>
      <c r="O15" s="399">
        <f>+I15+L15</f>
        <v>1448816</v>
      </c>
      <c r="P15" s="400">
        <f>+J15+M15</f>
        <v>1392916</v>
      </c>
    </row>
    <row r="16" spans="1:16" s="547" customFormat="1" ht="12" thickBot="1">
      <c r="A16" s="784" t="s">
        <v>28</v>
      </c>
      <c r="B16" s="294">
        <f>SUM(C16-D16)/D16</f>
        <v>-0.012805729198276385</v>
      </c>
      <c r="C16" s="102">
        <f>SUM(C3)</f>
        <v>97596</v>
      </c>
      <c r="D16" s="312">
        <f>SUM(D3)</f>
        <v>98862</v>
      </c>
      <c r="E16" s="294">
        <f>SUM(F16-G16)/G16</f>
        <v>0.08634451181784433</v>
      </c>
      <c r="F16" s="102">
        <f>SUM(F3)</f>
        <v>70230</v>
      </c>
      <c r="G16" s="312">
        <f>SUM(G3)</f>
        <v>64648</v>
      </c>
      <c r="H16" s="294">
        <f>SUM(I16-J16)/J16</f>
        <v>0.05370014679354686</v>
      </c>
      <c r="I16" s="102">
        <f>AVERAGE(I3:I14)</f>
        <v>185502.85714285713</v>
      </c>
      <c r="J16" s="312">
        <f>AVERAGE(J3:J14)</f>
        <v>176049</v>
      </c>
      <c r="K16" s="294">
        <f>SUM(L16-M16)/M16</f>
        <v>-0.10541757296777783</v>
      </c>
      <c r="L16" s="102">
        <f>SUM(L3)</f>
        <v>17685</v>
      </c>
      <c r="M16" s="312">
        <f>SUM(M3)</f>
        <v>19769</v>
      </c>
      <c r="N16" s="294">
        <f>SUM(O16-P16)/P16</f>
        <v>0.012178154616731867</v>
      </c>
      <c r="O16" s="102">
        <f>SUM(O3)</f>
        <v>185511</v>
      </c>
      <c r="P16" s="312">
        <f>SUM(P3)</f>
        <v>183279</v>
      </c>
    </row>
    <row r="18" spans="3:13" s="618" customFormat="1" ht="11.25">
      <c r="C18" s="618">
        <v>726120</v>
      </c>
      <c r="D18" s="618">
        <v>708192</v>
      </c>
      <c r="F18" s="618">
        <v>572400</v>
      </c>
      <c r="G18" s="618">
        <v>524151</v>
      </c>
      <c r="L18" s="618">
        <v>150296</v>
      </c>
      <c r="M18" s="618">
        <v>160573</v>
      </c>
    </row>
    <row r="19" spans="3:13" s="618" customFormat="1" ht="11.25">
      <c r="C19" s="618">
        <f>+C18-C15</f>
        <v>0</v>
      </c>
      <c r="D19" s="618">
        <f>+D18-D15</f>
        <v>0</v>
      </c>
      <c r="F19" s="618">
        <f>+F18-F15</f>
        <v>0</v>
      </c>
      <c r="G19" s="618">
        <f>+G18-G15</f>
        <v>0</v>
      </c>
      <c r="L19" s="618">
        <f>+L18-L15</f>
        <v>0</v>
      </c>
      <c r="M19" s="618">
        <f>+M18-M15</f>
        <v>0</v>
      </c>
    </row>
    <row r="20" s="618" customFormat="1" ht="11.25"/>
    <row r="21" s="618" customFormat="1" ht="11.25"/>
  </sheetData>
  <mergeCells count="6">
    <mergeCell ref="K1:M1"/>
    <mergeCell ref="N1:P1"/>
    <mergeCell ref="A1:A2"/>
    <mergeCell ref="B1:D1"/>
    <mergeCell ref="E1:G1"/>
    <mergeCell ref="H1:J1"/>
  </mergeCells>
  <printOptions/>
  <pageMargins left="0.75" right="0.75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O1">
      <selection activeCell="U22" sqref="U22"/>
    </sheetView>
  </sheetViews>
  <sheetFormatPr defaultColWidth="9.140625" defaultRowHeight="12.75"/>
  <cols>
    <col min="1" max="1" width="17.140625" style="3" customWidth="1"/>
    <col min="2" max="2" width="7.00390625" style="164" customWidth="1"/>
    <col min="3" max="3" width="9.00390625" style="3" customWidth="1"/>
    <col min="4" max="4" width="11.140625" style="3" customWidth="1"/>
    <col min="5" max="5" width="6.57421875" style="3" customWidth="1"/>
    <col min="6" max="6" width="7.00390625" style="164" customWidth="1"/>
    <col min="7" max="8" width="7.7109375" style="3" customWidth="1"/>
    <col min="9" max="9" width="6.57421875" style="3" bestFit="1" customWidth="1"/>
    <col min="10" max="10" width="7.00390625" style="3" customWidth="1"/>
    <col min="11" max="13" width="7.8515625" style="3" bestFit="1" customWidth="1"/>
    <col min="14" max="14" width="7.00390625" style="164" customWidth="1"/>
    <col min="15" max="16" width="7.140625" style="3" customWidth="1"/>
    <col min="17" max="17" width="6.57421875" style="3" bestFit="1" customWidth="1"/>
    <col min="18" max="18" width="7.00390625" style="3" customWidth="1"/>
    <col min="19" max="21" width="7.8515625" style="3" bestFit="1" customWidth="1"/>
    <col min="22" max="22" width="7.00390625" style="164" customWidth="1"/>
    <col min="23" max="24" width="9.8515625" style="3" customWidth="1"/>
    <col min="25" max="16384" width="9.140625" style="3" customWidth="1"/>
  </cols>
  <sheetData>
    <row r="1" spans="1:24" s="164" customFormat="1" ht="23.25" customHeight="1" thickBot="1">
      <c r="A1" s="2120" t="s">
        <v>92</v>
      </c>
      <c r="B1" s="2124" t="s">
        <v>93</v>
      </c>
      <c r="C1" s="2123"/>
      <c r="D1" s="2123"/>
      <c r="E1" s="2123"/>
      <c r="F1" s="2123"/>
      <c r="G1" s="2123"/>
      <c r="H1" s="2123"/>
      <c r="I1" s="2123"/>
      <c r="J1" s="2124" t="s">
        <v>2</v>
      </c>
      <c r="K1" s="2123"/>
      <c r="L1" s="2123"/>
      <c r="M1" s="2125"/>
      <c r="N1" s="2123" t="s">
        <v>3</v>
      </c>
      <c r="O1" s="2123"/>
      <c r="P1" s="2123"/>
      <c r="Q1" s="2123"/>
      <c r="R1" s="2124" t="s">
        <v>4</v>
      </c>
      <c r="S1" s="2123"/>
      <c r="T1" s="2123"/>
      <c r="U1" s="2125"/>
      <c r="V1" s="2056" t="s">
        <v>129</v>
      </c>
      <c r="W1" s="2057"/>
      <c r="X1" s="2122"/>
    </row>
    <row r="2" spans="1:24" s="165" customFormat="1" ht="12" thickBot="1">
      <c r="A2" s="2121"/>
      <c r="B2" s="308" t="s">
        <v>44</v>
      </c>
      <c r="C2" s="304">
        <v>2007</v>
      </c>
      <c r="D2" s="304">
        <v>2006</v>
      </c>
      <c r="E2" s="305">
        <v>2005</v>
      </c>
      <c r="F2" s="365" t="s">
        <v>44</v>
      </c>
      <c r="G2" s="366">
        <v>2007</v>
      </c>
      <c r="H2" s="366">
        <v>2006</v>
      </c>
      <c r="I2" s="367">
        <v>2005</v>
      </c>
      <c r="J2" s="369" t="s">
        <v>44</v>
      </c>
      <c r="K2" s="370">
        <v>2007</v>
      </c>
      <c r="L2" s="370">
        <v>2006</v>
      </c>
      <c r="M2" s="371">
        <v>2005</v>
      </c>
      <c r="N2" s="374" t="s">
        <v>44</v>
      </c>
      <c r="O2" s="375">
        <v>2007</v>
      </c>
      <c r="P2" s="375">
        <v>2006</v>
      </c>
      <c r="Q2" s="376">
        <v>2005</v>
      </c>
      <c r="R2" s="276" t="s">
        <v>44</v>
      </c>
      <c r="S2" s="378">
        <v>2007</v>
      </c>
      <c r="T2" s="378">
        <v>2006</v>
      </c>
      <c r="U2" s="379">
        <v>2005</v>
      </c>
      <c r="V2" s="470" t="s">
        <v>44</v>
      </c>
      <c r="W2" s="471">
        <v>2007</v>
      </c>
      <c r="X2" s="472">
        <v>2006</v>
      </c>
    </row>
    <row r="3" spans="1:24" ht="11.25">
      <c r="A3" s="208" t="s">
        <v>13</v>
      </c>
      <c r="B3" s="363" t="e">
        <f>SUM(#REF!-C3)/C3</f>
        <v>#REF!</v>
      </c>
      <c r="C3" s="302">
        <v>96457</v>
      </c>
      <c r="D3" s="302">
        <v>82748</v>
      </c>
      <c r="E3" s="303">
        <v>65706</v>
      </c>
      <c r="F3" s="980" t="e">
        <f>SUM(#REF!-G3)/G3</f>
        <v>#REF!</v>
      </c>
      <c r="G3" s="327">
        <v>61349</v>
      </c>
      <c r="H3" s="327">
        <v>50752</v>
      </c>
      <c r="I3" s="368">
        <v>49440</v>
      </c>
      <c r="J3" s="986" t="e">
        <f>SUM(#REF!-K3)/K3</f>
        <v>#REF!</v>
      </c>
      <c r="K3" s="373">
        <f aca="true" t="shared" si="0" ref="K3:K15">+C3+G3</f>
        <v>157806</v>
      </c>
      <c r="L3" s="373">
        <f aca="true" t="shared" si="1" ref="L3:L15">+D3+H3</f>
        <v>133500</v>
      </c>
      <c r="M3" s="373">
        <f aca="true" t="shared" si="2" ref="M3:M15">+E3+I3</f>
        <v>115146</v>
      </c>
      <c r="N3" s="982" t="e">
        <f>SUM(#REF!-O3)/O3</f>
        <v>#REF!</v>
      </c>
      <c r="O3" s="195">
        <v>17770</v>
      </c>
      <c r="P3" s="195">
        <v>18747</v>
      </c>
      <c r="Q3" s="377">
        <v>13737</v>
      </c>
      <c r="R3" s="987" t="e">
        <f>SUM(#REF!-S3)/S3</f>
        <v>#REF!</v>
      </c>
      <c r="S3" s="31">
        <f aca="true" t="shared" si="3" ref="S3:S15">+K3+O3</f>
        <v>175576</v>
      </c>
      <c r="T3" s="31">
        <f aca="true" t="shared" si="4" ref="T3:T15">+L3+P3</f>
        <v>152247</v>
      </c>
      <c r="U3" s="40">
        <f aca="true" t="shared" si="5" ref="U3:U15">+M3+Q3</f>
        <v>128883</v>
      </c>
      <c r="V3" s="984" t="e">
        <f>SUM(#REF!-W3)/W3</f>
        <v>#REF!</v>
      </c>
      <c r="W3" s="473">
        <v>1495464</v>
      </c>
      <c r="X3" s="474">
        <v>1231795</v>
      </c>
    </row>
    <row r="4" spans="1:24" ht="11.25">
      <c r="A4" s="217" t="s">
        <v>14</v>
      </c>
      <c r="B4" s="363"/>
      <c r="C4" s="302">
        <v>93956</v>
      </c>
      <c r="D4" s="302">
        <v>73756</v>
      </c>
      <c r="E4" s="303">
        <v>66026</v>
      </c>
      <c r="F4" s="980"/>
      <c r="G4" s="327">
        <v>65041</v>
      </c>
      <c r="H4" s="327">
        <v>61357</v>
      </c>
      <c r="I4" s="368">
        <v>56661</v>
      </c>
      <c r="J4" s="372"/>
      <c r="K4" s="373">
        <f t="shared" si="0"/>
        <v>158997</v>
      </c>
      <c r="L4" s="373">
        <f t="shared" si="1"/>
        <v>135113</v>
      </c>
      <c r="M4" s="373">
        <f t="shared" si="2"/>
        <v>122687</v>
      </c>
      <c r="N4" s="982"/>
      <c r="O4" s="195">
        <v>13458</v>
      </c>
      <c r="P4" s="195">
        <v>12346</v>
      </c>
      <c r="Q4" s="377">
        <v>13954</v>
      </c>
      <c r="R4" s="120"/>
      <c r="S4" s="31">
        <f t="shared" si="3"/>
        <v>172455</v>
      </c>
      <c r="T4" s="31">
        <f t="shared" si="4"/>
        <v>147459</v>
      </c>
      <c r="U4" s="40">
        <f t="shared" si="5"/>
        <v>136641</v>
      </c>
      <c r="V4" s="984"/>
      <c r="W4" s="473">
        <v>1508439</v>
      </c>
      <c r="X4" s="474">
        <v>1296326</v>
      </c>
    </row>
    <row r="5" spans="1:24" ht="11.25">
      <c r="A5" s="217" t="s">
        <v>15</v>
      </c>
      <c r="B5" s="363"/>
      <c r="C5" s="302">
        <v>82964</v>
      </c>
      <c r="D5" s="302">
        <v>89108</v>
      </c>
      <c r="E5" s="303">
        <v>62131</v>
      </c>
      <c r="F5" s="980"/>
      <c r="G5" s="327">
        <v>65001</v>
      </c>
      <c r="H5" s="327">
        <v>71371</v>
      </c>
      <c r="I5" s="368">
        <v>63737</v>
      </c>
      <c r="J5" s="372"/>
      <c r="K5" s="373">
        <f t="shared" si="0"/>
        <v>147965</v>
      </c>
      <c r="L5" s="373">
        <f t="shared" si="1"/>
        <v>160479</v>
      </c>
      <c r="M5" s="373">
        <f t="shared" si="2"/>
        <v>125868</v>
      </c>
      <c r="N5" s="982"/>
      <c r="O5" s="195">
        <v>18337</v>
      </c>
      <c r="P5" s="195">
        <v>16116</v>
      </c>
      <c r="Q5" s="377">
        <v>14103</v>
      </c>
      <c r="R5" s="120"/>
      <c r="S5" s="31">
        <f t="shared" si="3"/>
        <v>166302</v>
      </c>
      <c r="T5" s="31">
        <f t="shared" si="4"/>
        <v>176595</v>
      </c>
      <c r="U5" s="40">
        <f t="shared" si="5"/>
        <v>139971</v>
      </c>
      <c r="V5" s="984"/>
      <c r="W5" s="473">
        <v>1426345</v>
      </c>
      <c r="X5" s="474">
        <v>1569442</v>
      </c>
    </row>
    <row r="6" spans="1:24" ht="11.25">
      <c r="A6" s="217" t="s">
        <v>16</v>
      </c>
      <c r="B6" s="363"/>
      <c r="C6" s="302">
        <v>94375</v>
      </c>
      <c r="D6" s="302">
        <v>93076</v>
      </c>
      <c r="E6" s="303">
        <v>68147</v>
      </c>
      <c r="F6" s="980"/>
      <c r="G6" s="327">
        <v>72051</v>
      </c>
      <c r="H6" s="327">
        <v>62723</v>
      </c>
      <c r="I6" s="368">
        <v>57369</v>
      </c>
      <c r="J6" s="372"/>
      <c r="K6" s="373">
        <f t="shared" si="0"/>
        <v>166426</v>
      </c>
      <c r="L6" s="373">
        <f t="shared" si="1"/>
        <v>155799</v>
      </c>
      <c r="M6" s="373">
        <f t="shared" si="2"/>
        <v>125516</v>
      </c>
      <c r="N6" s="982"/>
      <c r="O6" s="195">
        <v>23581</v>
      </c>
      <c r="P6" s="195">
        <v>18977</v>
      </c>
      <c r="Q6" s="377">
        <v>17434</v>
      </c>
      <c r="R6" s="120"/>
      <c r="S6" s="31">
        <f t="shared" si="3"/>
        <v>190007</v>
      </c>
      <c r="T6" s="31">
        <f t="shared" si="4"/>
        <v>174776</v>
      </c>
      <c r="U6" s="40">
        <f t="shared" si="5"/>
        <v>142950</v>
      </c>
      <c r="V6" s="984"/>
      <c r="W6" s="473">
        <v>1594283</v>
      </c>
      <c r="X6" s="474">
        <v>1456662</v>
      </c>
    </row>
    <row r="7" spans="1:24" ht="11.25">
      <c r="A7" s="217" t="s">
        <v>17</v>
      </c>
      <c r="B7" s="363"/>
      <c r="C7" s="302">
        <v>89007</v>
      </c>
      <c r="D7" s="302">
        <v>99444</v>
      </c>
      <c r="E7" s="303">
        <v>71652</v>
      </c>
      <c r="F7" s="980"/>
      <c r="G7" s="327">
        <v>76354</v>
      </c>
      <c r="H7" s="327">
        <v>68203</v>
      </c>
      <c r="I7" s="368">
        <v>61551</v>
      </c>
      <c r="J7" s="372"/>
      <c r="K7" s="373">
        <f t="shared" si="0"/>
        <v>165361</v>
      </c>
      <c r="L7" s="373">
        <f t="shared" si="1"/>
        <v>167647</v>
      </c>
      <c r="M7" s="373">
        <f t="shared" si="2"/>
        <v>133203</v>
      </c>
      <c r="N7" s="982"/>
      <c r="O7" s="195">
        <v>24722</v>
      </c>
      <c r="P7" s="195">
        <v>28678</v>
      </c>
      <c r="Q7" s="377">
        <v>20624</v>
      </c>
      <c r="R7" s="120"/>
      <c r="S7" s="31">
        <f t="shared" si="3"/>
        <v>190083</v>
      </c>
      <c r="T7" s="31">
        <f t="shared" si="4"/>
        <v>196325</v>
      </c>
      <c r="U7" s="40">
        <f t="shared" si="5"/>
        <v>153827</v>
      </c>
      <c r="V7" s="984"/>
      <c r="W7" s="473">
        <v>1638394</v>
      </c>
      <c r="X7" s="474">
        <v>1604209</v>
      </c>
    </row>
    <row r="8" spans="1:24" ht="11.25">
      <c r="A8" s="217" t="s">
        <v>18</v>
      </c>
      <c r="B8" s="363"/>
      <c r="C8" s="302">
        <v>99973</v>
      </c>
      <c r="D8" s="302">
        <v>89851</v>
      </c>
      <c r="E8" s="364">
        <v>70788</v>
      </c>
      <c r="F8" s="980"/>
      <c r="G8" s="327">
        <v>70428</v>
      </c>
      <c r="H8" s="327">
        <v>63697</v>
      </c>
      <c r="I8" s="368">
        <v>59004</v>
      </c>
      <c r="J8" s="372"/>
      <c r="K8" s="373">
        <f t="shared" si="0"/>
        <v>170401</v>
      </c>
      <c r="L8" s="373">
        <f t="shared" si="1"/>
        <v>153548</v>
      </c>
      <c r="M8" s="373">
        <f t="shared" si="2"/>
        <v>129792</v>
      </c>
      <c r="N8" s="982"/>
      <c r="O8" s="195">
        <v>21816</v>
      </c>
      <c r="P8" s="195">
        <v>34239</v>
      </c>
      <c r="Q8" s="377">
        <v>21174</v>
      </c>
      <c r="R8" s="120"/>
      <c r="S8" s="31">
        <f t="shared" si="3"/>
        <v>192217</v>
      </c>
      <c r="T8" s="31">
        <f t="shared" si="4"/>
        <v>187787</v>
      </c>
      <c r="U8" s="40">
        <f t="shared" si="5"/>
        <v>150966</v>
      </c>
      <c r="V8" s="984"/>
      <c r="W8" s="473">
        <v>1608783</v>
      </c>
      <c r="X8" s="474">
        <v>1464928</v>
      </c>
    </row>
    <row r="9" spans="1:24" ht="11.25">
      <c r="A9" s="217" t="s">
        <v>19</v>
      </c>
      <c r="B9" s="363"/>
      <c r="C9" s="302">
        <v>107269</v>
      </c>
      <c r="D9" s="302">
        <v>100148</v>
      </c>
      <c r="E9" s="364">
        <v>77361</v>
      </c>
      <c r="F9" s="980"/>
      <c r="G9" s="327">
        <v>70863</v>
      </c>
      <c r="H9" s="327">
        <v>60500</v>
      </c>
      <c r="I9" s="368">
        <v>25980</v>
      </c>
      <c r="J9" s="372"/>
      <c r="K9" s="373">
        <f t="shared" si="0"/>
        <v>178132</v>
      </c>
      <c r="L9" s="373">
        <f t="shared" si="1"/>
        <v>160648</v>
      </c>
      <c r="M9" s="373">
        <f t="shared" si="2"/>
        <v>103341</v>
      </c>
      <c r="N9" s="982"/>
      <c r="O9" s="195">
        <v>24188</v>
      </c>
      <c r="P9" s="195">
        <v>34749</v>
      </c>
      <c r="Q9" s="377">
        <v>28851</v>
      </c>
      <c r="R9" s="120"/>
      <c r="S9" s="31">
        <f t="shared" si="3"/>
        <v>202320</v>
      </c>
      <c r="T9" s="31">
        <f t="shared" si="4"/>
        <v>195397</v>
      </c>
      <c r="U9" s="40">
        <f t="shared" si="5"/>
        <v>132192</v>
      </c>
      <c r="V9" s="984"/>
      <c r="W9" s="473">
        <v>1658814</v>
      </c>
      <c r="X9" s="474">
        <v>1477515</v>
      </c>
    </row>
    <row r="10" spans="1:24" ht="11.25">
      <c r="A10" s="217" t="s">
        <v>20</v>
      </c>
      <c r="B10" s="363"/>
      <c r="C10" s="302">
        <v>105494</v>
      </c>
      <c r="D10" s="302">
        <v>101824</v>
      </c>
      <c r="E10" s="303">
        <v>77828</v>
      </c>
      <c r="F10" s="980"/>
      <c r="G10" s="327">
        <v>69402</v>
      </c>
      <c r="H10" s="327">
        <v>62587</v>
      </c>
      <c r="I10" s="368">
        <v>53419</v>
      </c>
      <c r="J10" s="372"/>
      <c r="K10" s="373">
        <f t="shared" si="0"/>
        <v>174896</v>
      </c>
      <c r="L10" s="373">
        <f t="shared" si="1"/>
        <v>164411</v>
      </c>
      <c r="M10" s="373">
        <f t="shared" si="2"/>
        <v>131247</v>
      </c>
      <c r="N10" s="982"/>
      <c r="O10" s="195">
        <v>28882</v>
      </c>
      <c r="P10" s="195">
        <v>37818</v>
      </c>
      <c r="Q10" s="377">
        <v>23774</v>
      </c>
      <c r="R10" s="120"/>
      <c r="S10" s="31">
        <f t="shared" si="3"/>
        <v>203778</v>
      </c>
      <c r="T10" s="31">
        <f t="shared" si="4"/>
        <v>202229</v>
      </c>
      <c r="U10" s="40">
        <f t="shared" si="5"/>
        <v>155021</v>
      </c>
      <c r="V10" s="984"/>
      <c r="W10" s="473">
        <v>1584526</v>
      </c>
      <c r="X10" s="474">
        <v>1476718</v>
      </c>
    </row>
    <row r="11" spans="1:24" ht="11.25">
      <c r="A11" s="217" t="s">
        <v>21</v>
      </c>
      <c r="B11" s="363"/>
      <c r="C11" s="302">
        <v>110749</v>
      </c>
      <c r="D11" s="302">
        <v>103487</v>
      </c>
      <c r="E11" s="364">
        <v>75320</v>
      </c>
      <c r="F11" s="980"/>
      <c r="G11" s="327">
        <v>73877</v>
      </c>
      <c r="H11" s="327">
        <v>64265</v>
      </c>
      <c r="I11" s="368">
        <v>57684</v>
      </c>
      <c r="J11" s="372"/>
      <c r="K11" s="373">
        <f t="shared" si="0"/>
        <v>184626</v>
      </c>
      <c r="L11" s="373">
        <f t="shared" si="1"/>
        <v>167752</v>
      </c>
      <c r="M11" s="373">
        <f t="shared" si="2"/>
        <v>133004</v>
      </c>
      <c r="N11" s="982"/>
      <c r="O11" s="195">
        <v>30055</v>
      </c>
      <c r="P11" s="195">
        <v>36282</v>
      </c>
      <c r="Q11" s="377">
        <v>21531</v>
      </c>
      <c r="R11" s="120"/>
      <c r="S11" s="31">
        <f t="shared" si="3"/>
        <v>214681</v>
      </c>
      <c r="T11" s="31">
        <f t="shared" si="4"/>
        <v>204034</v>
      </c>
      <c r="U11" s="40">
        <f t="shared" si="5"/>
        <v>154535</v>
      </c>
      <c r="V11" s="984"/>
      <c r="W11" s="473">
        <v>1692895</v>
      </c>
      <c r="X11" s="474">
        <v>1499721</v>
      </c>
    </row>
    <row r="12" spans="1:24" ht="11.25">
      <c r="A12" s="217" t="s">
        <v>22</v>
      </c>
      <c r="B12" s="363"/>
      <c r="C12" s="302">
        <v>106813</v>
      </c>
      <c r="D12" s="302">
        <v>106865</v>
      </c>
      <c r="E12" s="364">
        <v>80700</v>
      </c>
      <c r="F12" s="980"/>
      <c r="G12" s="327">
        <v>75843</v>
      </c>
      <c r="H12" s="327">
        <v>63678</v>
      </c>
      <c r="I12" s="368">
        <v>59386</v>
      </c>
      <c r="J12" s="372"/>
      <c r="K12" s="373">
        <f t="shared" si="0"/>
        <v>182656</v>
      </c>
      <c r="L12" s="373">
        <f t="shared" si="1"/>
        <v>170543</v>
      </c>
      <c r="M12" s="373">
        <f t="shared" si="2"/>
        <v>140086</v>
      </c>
      <c r="N12" s="982"/>
      <c r="O12" s="195">
        <v>23108</v>
      </c>
      <c r="P12" s="195">
        <v>34345</v>
      </c>
      <c r="Q12" s="377">
        <v>26161</v>
      </c>
      <c r="R12" s="120"/>
      <c r="S12" s="31">
        <f t="shared" si="3"/>
        <v>205764</v>
      </c>
      <c r="T12" s="31">
        <f t="shared" si="4"/>
        <v>204888</v>
      </c>
      <c r="U12" s="40">
        <f t="shared" si="5"/>
        <v>166247</v>
      </c>
      <c r="V12" s="984"/>
      <c r="W12" s="473">
        <v>1677874</v>
      </c>
      <c r="X12" s="474">
        <v>1544114</v>
      </c>
    </row>
    <row r="13" spans="1:24" ht="11.25">
      <c r="A13" s="217" t="s">
        <v>23</v>
      </c>
      <c r="B13" s="363"/>
      <c r="C13" s="302">
        <v>95856</v>
      </c>
      <c r="D13" s="302">
        <v>94303</v>
      </c>
      <c r="E13" s="364">
        <v>75000</v>
      </c>
      <c r="F13" s="980"/>
      <c r="G13" s="327">
        <v>78301</v>
      </c>
      <c r="H13" s="327">
        <v>63156</v>
      </c>
      <c r="I13" s="368">
        <v>60620</v>
      </c>
      <c r="J13" s="372"/>
      <c r="K13" s="373">
        <f t="shared" si="0"/>
        <v>174157</v>
      </c>
      <c r="L13" s="373">
        <f t="shared" si="1"/>
        <v>157459</v>
      </c>
      <c r="M13" s="373">
        <f t="shared" si="2"/>
        <v>135620</v>
      </c>
      <c r="N13" s="982"/>
      <c r="O13" s="195">
        <v>26608</v>
      </c>
      <c r="P13" s="195">
        <v>30634</v>
      </c>
      <c r="Q13" s="377">
        <v>23795</v>
      </c>
      <c r="R13" s="120"/>
      <c r="S13" s="31">
        <f t="shared" si="3"/>
        <v>200765</v>
      </c>
      <c r="T13" s="31">
        <f t="shared" si="4"/>
        <v>188093</v>
      </c>
      <c r="U13" s="40">
        <f t="shared" si="5"/>
        <v>159415</v>
      </c>
      <c r="V13" s="984"/>
      <c r="W13" s="473">
        <v>1668304</v>
      </c>
      <c r="X13" s="474">
        <v>1526327</v>
      </c>
    </row>
    <row r="14" spans="1:24" ht="12" thickBot="1">
      <c r="A14" s="417" t="s">
        <v>24</v>
      </c>
      <c r="B14" s="418"/>
      <c r="C14" s="419">
        <v>97798</v>
      </c>
      <c r="D14" s="419">
        <v>86170</v>
      </c>
      <c r="E14" s="420">
        <v>66566</v>
      </c>
      <c r="F14" s="981"/>
      <c r="G14" s="421">
        <v>79044</v>
      </c>
      <c r="H14" s="421">
        <v>70099</v>
      </c>
      <c r="I14" s="422">
        <v>63814</v>
      </c>
      <c r="J14" s="423"/>
      <c r="K14" s="424">
        <f t="shared" si="0"/>
        <v>176842</v>
      </c>
      <c r="L14" s="424">
        <f t="shared" si="1"/>
        <v>156269</v>
      </c>
      <c r="M14" s="424">
        <f t="shared" si="2"/>
        <v>130380</v>
      </c>
      <c r="N14" s="983"/>
      <c r="O14" s="425">
        <v>16500</v>
      </c>
      <c r="P14" s="425">
        <v>21649</v>
      </c>
      <c r="Q14" s="426">
        <v>16351</v>
      </c>
      <c r="R14" s="402"/>
      <c r="S14" s="411">
        <f t="shared" si="3"/>
        <v>193342</v>
      </c>
      <c r="T14" s="411">
        <f t="shared" si="4"/>
        <v>177918</v>
      </c>
      <c r="U14" s="412">
        <f t="shared" si="5"/>
        <v>146731</v>
      </c>
      <c r="V14" s="985"/>
      <c r="W14" s="475">
        <v>1688171</v>
      </c>
      <c r="X14" s="476">
        <v>1504712</v>
      </c>
    </row>
    <row r="15" spans="1:24" s="144" customFormat="1" ht="11.25">
      <c r="A15" s="427" t="s">
        <v>25</v>
      </c>
      <c r="B15" s="428" t="e">
        <f>SUM(#REF!-D15)/D15</f>
        <v>#REF!</v>
      </c>
      <c r="C15" s="394">
        <f>SUM(C3)</f>
        <v>96457</v>
      </c>
      <c r="D15" s="394">
        <f>SUM(D3)</f>
        <v>82748</v>
      </c>
      <c r="E15" s="394">
        <f>SUM(E3)</f>
        <v>65706</v>
      </c>
      <c r="F15" s="428" t="e">
        <f>SUM(#REF!-H15)/H15</f>
        <v>#REF!</v>
      </c>
      <c r="G15" s="394">
        <f>SUM(G3)</f>
        <v>61349</v>
      </c>
      <c r="H15" s="394">
        <f>SUM(H3)</f>
        <v>50752</v>
      </c>
      <c r="I15" s="394">
        <f>SUM(I3)</f>
        <v>49440</v>
      </c>
      <c r="J15" s="428" t="e">
        <f>SUM(#REF!-K15)/K15</f>
        <v>#REF!</v>
      </c>
      <c r="K15" s="399">
        <f t="shared" si="0"/>
        <v>157806</v>
      </c>
      <c r="L15" s="399">
        <f t="shared" si="1"/>
        <v>133500</v>
      </c>
      <c r="M15" s="400">
        <f t="shared" si="2"/>
        <v>115146</v>
      </c>
      <c r="N15" s="428" t="e">
        <f>SUM(#REF!-P15)/P15</f>
        <v>#REF!</v>
      </c>
      <c r="O15" s="394">
        <f>SUM(O3)</f>
        <v>17770</v>
      </c>
      <c r="P15" s="394">
        <f>SUM(P3)</f>
        <v>18747</v>
      </c>
      <c r="Q15" s="394">
        <f>SUM(Q3)</f>
        <v>13737</v>
      </c>
      <c r="R15" s="428" t="e">
        <f>SUM(#REF!-S15)/S15</f>
        <v>#REF!</v>
      </c>
      <c r="S15" s="394">
        <f t="shared" si="3"/>
        <v>175576</v>
      </c>
      <c r="T15" s="394">
        <f t="shared" si="4"/>
        <v>152247</v>
      </c>
      <c r="U15" s="395">
        <f t="shared" si="5"/>
        <v>128883</v>
      </c>
      <c r="V15" s="428" t="e">
        <f>SUM(#REF!-X15)/X15</f>
        <v>#REF!</v>
      </c>
      <c r="W15" s="394">
        <f>SUM(W3:W14)</f>
        <v>19242292</v>
      </c>
      <c r="X15" s="395">
        <f>SUM(X3:X14)</f>
        <v>17652469</v>
      </c>
    </row>
    <row r="16" spans="1:24" s="144" customFormat="1" ht="12" thickBot="1">
      <c r="A16" s="145" t="s">
        <v>28</v>
      </c>
      <c r="B16" s="306" t="e">
        <f>SUM(#REF!-D16)/D16</f>
        <v>#REF!</v>
      </c>
      <c r="C16" s="98">
        <f>SUM(C3)</f>
        <v>96457</v>
      </c>
      <c r="D16" s="98">
        <f>SUM(D3)</f>
        <v>82748</v>
      </c>
      <c r="E16" s="298">
        <f>SUM(E3)</f>
        <v>65706</v>
      </c>
      <c r="F16" s="306" t="e">
        <f>SUM(#REF!-H16)/H16</f>
        <v>#REF!</v>
      </c>
      <c r="G16" s="98">
        <f>SUM(G3)</f>
        <v>61349</v>
      </c>
      <c r="H16" s="98">
        <f>SUM(H3)</f>
        <v>50752</v>
      </c>
      <c r="I16" s="298">
        <f>SUM(I3)</f>
        <v>49440</v>
      </c>
      <c r="J16" s="306">
        <f>SUM(K16-L16)/L16</f>
        <v>0.08235961953474147</v>
      </c>
      <c r="K16" s="102">
        <f>AVERAGE(K3:K14)</f>
        <v>169855.41666666666</v>
      </c>
      <c r="L16" s="102">
        <f>AVERAGE(L3:L14)</f>
        <v>156930.66666666666</v>
      </c>
      <c r="M16" s="312">
        <f>AVERAGE(M3:M14)</f>
        <v>127157.5</v>
      </c>
      <c r="N16" s="306" t="e">
        <f>SUM(#REF!-P16)/P16</f>
        <v>#REF!</v>
      </c>
      <c r="O16" s="98">
        <f>SUM(O3)</f>
        <v>17770</v>
      </c>
      <c r="P16" s="98">
        <f>SUM(P3)</f>
        <v>18747</v>
      </c>
      <c r="Q16" s="298">
        <f>SUM(Q3)</f>
        <v>13737</v>
      </c>
      <c r="R16" s="306">
        <f>SUM(S16-T16)/T16</f>
        <v>0.04508757340058733</v>
      </c>
      <c r="S16" s="98">
        <f>AVERAGE(S3:S14)</f>
        <v>192274.16666666666</v>
      </c>
      <c r="T16" s="98">
        <f>AVERAGE(T3:T14)</f>
        <v>183979</v>
      </c>
      <c r="U16" s="298">
        <f>AVERAGE(U3:U14)</f>
        <v>147281.58333333334</v>
      </c>
      <c r="V16" s="306" t="e">
        <f>SUM(#REF!-X16)/X16</f>
        <v>#REF!</v>
      </c>
      <c r="W16" s="98">
        <f>AVERAGE(W3:W14)</f>
        <v>1603524.3333333333</v>
      </c>
      <c r="X16" s="298">
        <f>AVERAGE(X3:X14)</f>
        <v>1471039.0833333333</v>
      </c>
    </row>
    <row r="17" ht="12" customHeight="1"/>
  </sheetData>
  <mergeCells count="7">
    <mergeCell ref="V1:X1"/>
    <mergeCell ref="N1:Q1"/>
    <mergeCell ref="R1:U1"/>
    <mergeCell ref="A1:A2"/>
    <mergeCell ref="B1:E1"/>
    <mergeCell ref="F1:I1"/>
    <mergeCell ref="J1:M1"/>
  </mergeCells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1" ySplit="1" topLeftCell="AC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D16" sqref="AD16"/>
    </sheetView>
  </sheetViews>
  <sheetFormatPr defaultColWidth="9.140625" defaultRowHeight="12.75"/>
  <cols>
    <col min="1" max="16384" width="9.140625" style="144" customWidth="1"/>
  </cols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1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" sqref="C11"/>
    </sheetView>
  </sheetViews>
  <sheetFormatPr defaultColWidth="9.140625" defaultRowHeight="12.75"/>
  <cols>
    <col min="1" max="1" width="19.421875" style="11" customWidth="1"/>
    <col min="2" max="2" width="6.140625" style="11" customWidth="1"/>
    <col min="3" max="4" width="7.7109375" style="11" bestFit="1" customWidth="1"/>
    <col min="5" max="5" width="7.7109375" style="11" customWidth="1"/>
    <col min="6" max="6" width="7.7109375" style="11" bestFit="1" customWidth="1"/>
    <col min="7" max="7" width="6.140625" style="11" customWidth="1"/>
    <col min="8" max="11" width="6.8515625" style="11" customWidth="1"/>
    <col min="12" max="12" width="5.8515625" style="11" customWidth="1"/>
    <col min="13" max="16" width="6.8515625" style="11" customWidth="1"/>
    <col min="17" max="17" width="6.140625" style="11" bestFit="1" customWidth="1"/>
    <col min="18" max="18" width="6.8515625" style="11" customWidth="1"/>
    <col min="19" max="19" width="6.00390625" style="11" customWidth="1"/>
    <col min="20" max="21" width="6.8515625" style="11" bestFit="1" customWidth="1"/>
    <col min="22" max="22" width="5.8515625" style="11" bestFit="1" customWidth="1"/>
    <col min="23" max="26" width="7.7109375" style="11" bestFit="1" customWidth="1"/>
    <col min="27" max="27" width="5.8515625" style="11" customWidth="1"/>
    <col min="28" max="28" width="7.7109375" style="11" bestFit="1" customWidth="1"/>
    <col min="29" max="29" width="7.7109375" style="11" customWidth="1"/>
    <col min="30" max="32" width="6.8515625" style="11" customWidth="1"/>
    <col min="33" max="33" width="5.8515625" style="11" customWidth="1"/>
    <col min="34" max="35" width="6.57421875" style="11" customWidth="1"/>
    <col min="36" max="37" width="6.57421875" style="11" bestFit="1" customWidth="1"/>
    <col min="38" max="38" width="5.8515625" style="11" bestFit="1" customWidth="1"/>
    <col min="39" max="42" width="9.00390625" style="11" customWidth="1"/>
    <col min="43" max="145" width="9.140625" style="391" customWidth="1"/>
    <col min="146" max="16384" width="9.140625" style="11" customWidth="1"/>
  </cols>
  <sheetData>
    <row r="1" spans="1:145" s="826" customFormat="1" ht="13.5" thickBot="1">
      <c r="A1" s="1870" t="s">
        <v>172</v>
      </c>
      <c r="B1" s="1882"/>
      <c r="C1" s="1883"/>
      <c r="D1" s="1883"/>
      <c r="E1" s="1883"/>
      <c r="F1" s="1883"/>
      <c r="G1" s="1883"/>
      <c r="H1" s="1883"/>
      <c r="I1" s="1883"/>
      <c r="J1" s="1883"/>
      <c r="K1" s="1883"/>
      <c r="L1" s="1883"/>
      <c r="M1" s="1883"/>
      <c r="N1" s="1883"/>
      <c r="O1" s="1883"/>
      <c r="P1" s="1883"/>
      <c r="Q1" s="1883"/>
      <c r="R1" s="1883"/>
      <c r="S1" s="1883"/>
      <c r="T1" s="1883"/>
      <c r="U1" s="1883"/>
      <c r="V1" s="1883"/>
      <c r="W1" s="1883"/>
      <c r="X1" s="1883"/>
      <c r="Y1" s="1883"/>
      <c r="Z1" s="1883"/>
      <c r="AA1" s="1883"/>
      <c r="AB1" s="1883"/>
      <c r="AC1" s="1883"/>
      <c r="AD1" s="1883"/>
      <c r="AE1" s="1883"/>
      <c r="AF1" s="1883"/>
      <c r="AG1" s="1883"/>
      <c r="AH1" s="1883"/>
      <c r="AI1" s="1883"/>
      <c r="AJ1" s="1883"/>
      <c r="AK1" s="1883"/>
      <c r="AL1" s="1883"/>
      <c r="AM1" s="1883"/>
      <c r="AN1" s="1883"/>
      <c r="AO1" s="1883"/>
      <c r="AP1" s="1874"/>
      <c r="AQ1" s="934"/>
      <c r="AR1" s="934"/>
      <c r="AS1" s="934"/>
      <c r="AT1" s="934"/>
      <c r="AU1" s="934"/>
      <c r="AV1" s="934"/>
      <c r="AW1" s="934"/>
      <c r="AX1" s="934"/>
      <c r="AY1" s="934"/>
      <c r="AZ1" s="934"/>
      <c r="BA1" s="934"/>
      <c r="BB1" s="934"/>
      <c r="BC1" s="934"/>
      <c r="BD1" s="934"/>
      <c r="BE1" s="934"/>
      <c r="BF1" s="934"/>
      <c r="BG1" s="934"/>
      <c r="BH1" s="934"/>
      <c r="BI1" s="934"/>
      <c r="BJ1" s="934"/>
      <c r="BK1" s="934"/>
      <c r="BL1" s="934"/>
      <c r="BM1" s="934"/>
      <c r="BN1" s="934"/>
      <c r="BO1" s="934"/>
      <c r="BP1" s="934"/>
      <c r="BQ1" s="934"/>
      <c r="BR1" s="934"/>
      <c r="BS1" s="934"/>
      <c r="BT1" s="934"/>
      <c r="BU1" s="934"/>
      <c r="BV1" s="934"/>
      <c r="BW1" s="934"/>
      <c r="BX1" s="934"/>
      <c r="BY1" s="934"/>
      <c r="BZ1" s="934"/>
      <c r="CA1" s="934"/>
      <c r="CB1" s="934"/>
      <c r="CC1" s="934"/>
      <c r="CD1" s="934"/>
      <c r="CE1" s="934"/>
      <c r="CF1" s="934"/>
      <c r="CG1" s="934"/>
      <c r="CH1" s="934"/>
      <c r="CI1" s="934"/>
      <c r="CJ1" s="934"/>
      <c r="CK1" s="934"/>
      <c r="CL1" s="934"/>
      <c r="CM1" s="934"/>
      <c r="CN1" s="934"/>
      <c r="CO1" s="934"/>
      <c r="CP1" s="934"/>
      <c r="CQ1" s="934"/>
      <c r="CR1" s="934"/>
      <c r="CS1" s="934"/>
      <c r="CT1" s="934"/>
      <c r="CU1" s="934"/>
      <c r="CV1" s="934"/>
      <c r="CW1" s="934"/>
      <c r="CX1" s="934"/>
      <c r="CY1" s="934"/>
      <c r="CZ1" s="934"/>
      <c r="DA1" s="934"/>
      <c r="DB1" s="934"/>
      <c r="DC1" s="934"/>
      <c r="DD1" s="934"/>
      <c r="DE1" s="934"/>
      <c r="DF1" s="934"/>
      <c r="DG1" s="934"/>
      <c r="DH1" s="934"/>
      <c r="DI1" s="934"/>
      <c r="DJ1" s="934"/>
      <c r="DK1" s="934"/>
      <c r="DL1" s="934"/>
      <c r="DM1" s="934"/>
      <c r="DN1" s="934"/>
      <c r="DO1" s="934"/>
      <c r="DP1" s="934"/>
      <c r="DQ1" s="934"/>
      <c r="DR1" s="934"/>
      <c r="DS1" s="934"/>
      <c r="DT1" s="934"/>
      <c r="DU1" s="934"/>
      <c r="DV1" s="934"/>
      <c r="DW1" s="934"/>
      <c r="DX1" s="934"/>
      <c r="DY1" s="934"/>
      <c r="DZ1" s="934"/>
      <c r="EA1" s="934"/>
      <c r="EB1" s="934"/>
      <c r="EC1" s="934"/>
      <c r="ED1" s="934"/>
      <c r="EE1" s="934"/>
      <c r="EF1" s="934"/>
      <c r="EG1" s="934"/>
      <c r="EH1" s="934"/>
      <c r="EI1" s="934"/>
      <c r="EJ1" s="934"/>
      <c r="EK1" s="934"/>
      <c r="EL1" s="934"/>
      <c r="EM1" s="934"/>
      <c r="EN1" s="934"/>
      <c r="EO1" s="934"/>
    </row>
    <row r="2" spans="1:145" s="826" customFormat="1" ht="23.25" thickBot="1">
      <c r="A2" s="1871"/>
      <c r="B2" s="554" t="s">
        <v>179</v>
      </c>
      <c r="C2" s="694">
        <v>2008</v>
      </c>
      <c r="D2" s="694">
        <v>2007</v>
      </c>
      <c r="E2" s="694">
        <v>2006</v>
      </c>
      <c r="F2" s="1173">
        <v>2005</v>
      </c>
      <c r="G2" s="1082" t="s">
        <v>179</v>
      </c>
      <c r="H2" s="1174">
        <v>2008</v>
      </c>
      <c r="I2" s="1174">
        <v>2007</v>
      </c>
      <c r="J2" s="1174">
        <v>2006</v>
      </c>
      <c r="K2" s="1175">
        <v>2005</v>
      </c>
      <c r="L2" s="913" t="s">
        <v>180</v>
      </c>
      <c r="M2" s="914">
        <v>2008</v>
      </c>
      <c r="N2" s="914">
        <v>2007</v>
      </c>
      <c r="O2" s="914">
        <v>2006</v>
      </c>
      <c r="P2" s="922">
        <v>2005</v>
      </c>
      <c r="Q2" s="568" t="s">
        <v>180</v>
      </c>
      <c r="R2" s="915">
        <v>2008</v>
      </c>
      <c r="S2" s="915">
        <v>2007</v>
      </c>
      <c r="T2" s="915">
        <v>2006</v>
      </c>
      <c r="U2" s="923">
        <v>2005</v>
      </c>
      <c r="V2" s="911" t="s">
        <v>180</v>
      </c>
      <c r="W2" s="912">
        <v>2008</v>
      </c>
      <c r="X2" s="912">
        <v>2007</v>
      </c>
      <c r="Y2" s="912">
        <v>2006</v>
      </c>
      <c r="Z2" s="919">
        <v>2005</v>
      </c>
      <c r="AA2" s="460" t="s">
        <v>180</v>
      </c>
      <c r="AB2" s="578">
        <v>2008</v>
      </c>
      <c r="AC2" s="578">
        <v>2007</v>
      </c>
      <c r="AD2" s="578">
        <v>2006</v>
      </c>
      <c r="AE2" s="578">
        <v>2005</v>
      </c>
      <c r="AF2" s="920">
        <v>2004</v>
      </c>
      <c r="AG2" s="501" t="s">
        <v>180</v>
      </c>
      <c r="AH2" s="79">
        <v>2008</v>
      </c>
      <c r="AI2" s="79">
        <v>2007</v>
      </c>
      <c r="AJ2" s="79">
        <v>2006</v>
      </c>
      <c r="AK2" s="1176">
        <v>2005</v>
      </c>
      <c r="AL2" s="496" t="s">
        <v>180</v>
      </c>
      <c r="AM2" s="80">
        <v>2008</v>
      </c>
      <c r="AN2" s="80">
        <v>2007</v>
      </c>
      <c r="AO2" s="80">
        <v>2006</v>
      </c>
      <c r="AP2" s="497">
        <v>2005</v>
      </c>
      <c r="AQ2" s="934"/>
      <c r="AR2" s="934"/>
      <c r="AS2" s="934"/>
      <c r="AT2" s="934"/>
      <c r="AU2" s="934"/>
      <c r="AV2" s="934"/>
      <c r="AW2" s="934"/>
      <c r="AX2" s="934"/>
      <c r="AY2" s="934"/>
      <c r="AZ2" s="934"/>
      <c r="BA2" s="934"/>
      <c r="BB2" s="934"/>
      <c r="BC2" s="934"/>
      <c r="BD2" s="934"/>
      <c r="BE2" s="934"/>
      <c r="BF2" s="934"/>
      <c r="BG2" s="934"/>
      <c r="BH2" s="934"/>
      <c r="BI2" s="934"/>
      <c r="BJ2" s="934"/>
      <c r="BK2" s="934"/>
      <c r="BL2" s="934"/>
      <c r="BM2" s="934"/>
      <c r="BN2" s="934"/>
      <c r="BO2" s="934"/>
      <c r="BP2" s="934"/>
      <c r="BQ2" s="934"/>
      <c r="BR2" s="934"/>
      <c r="BS2" s="934"/>
      <c r="BT2" s="934"/>
      <c r="BU2" s="934"/>
      <c r="BV2" s="934"/>
      <c r="BW2" s="934"/>
      <c r="BX2" s="934"/>
      <c r="BY2" s="934"/>
      <c r="BZ2" s="934"/>
      <c r="CA2" s="934"/>
      <c r="CB2" s="934"/>
      <c r="CC2" s="934"/>
      <c r="CD2" s="934"/>
      <c r="CE2" s="934"/>
      <c r="CF2" s="934"/>
      <c r="CG2" s="934"/>
      <c r="CH2" s="934"/>
      <c r="CI2" s="934"/>
      <c r="CJ2" s="934"/>
      <c r="CK2" s="934"/>
      <c r="CL2" s="934"/>
      <c r="CM2" s="934"/>
      <c r="CN2" s="934"/>
      <c r="CO2" s="934"/>
      <c r="CP2" s="934"/>
      <c r="CQ2" s="934"/>
      <c r="CR2" s="934"/>
      <c r="CS2" s="934"/>
      <c r="CT2" s="934"/>
      <c r="CU2" s="934"/>
      <c r="CV2" s="934"/>
      <c r="CW2" s="934"/>
      <c r="CX2" s="934"/>
      <c r="CY2" s="934"/>
      <c r="CZ2" s="934"/>
      <c r="DA2" s="934"/>
      <c r="DB2" s="934"/>
      <c r="DC2" s="934"/>
      <c r="DD2" s="934"/>
      <c r="DE2" s="934"/>
      <c r="DF2" s="934"/>
      <c r="DG2" s="934"/>
      <c r="DH2" s="934"/>
      <c r="DI2" s="934"/>
      <c r="DJ2" s="934"/>
      <c r="DK2" s="934"/>
      <c r="DL2" s="934"/>
      <c r="DM2" s="934"/>
      <c r="DN2" s="934"/>
      <c r="DO2" s="934"/>
      <c r="DP2" s="934"/>
      <c r="DQ2" s="934"/>
      <c r="DR2" s="934"/>
      <c r="DS2" s="934"/>
      <c r="DT2" s="934"/>
      <c r="DU2" s="934"/>
      <c r="DV2" s="934"/>
      <c r="DW2" s="934"/>
      <c r="DX2" s="934"/>
      <c r="DY2" s="934"/>
      <c r="DZ2" s="934"/>
      <c r="EA2" s="934"/>
      <c r="EB2" s="934"/>
      <c r="EC2" s="934"/>
      <c r="ED2" s="934"/>
      <c r="EE2" s="934"/>
      <c r="EF2" s="934"/>
      <c r="EG2" s="934"/>
      <c r="EH2" s="934"/>
      <c r="EI2" s="934"/>
      <c r="EJ2" s="934"/>
      <c r="EK2" s="934"/>
      <c r="EL2" s="934"/>
      <c r="EM2" s="934"/>
      <c r="EN2" s="934"/>
      <c r="EO2" s="934"/>
    </row>
    <row r="3" spans="1:145" s="924" customFormat="1" ht="13.5" thickBot="1">
      <c r="A3" s="605"/>
      <c r="B3" s="1875" t="s">
        <v>100</v>
      </c>
      <c r="C3" s="1876"/>
      <c r="D3" s="1877"/>
      <c r="E3" s="1877"/>
      <c r="F3" s="1878"/>
      <c r="G3" s="1893" t="s">
        <v>69</v>
      </c>
      <c r="H3" s="1884"/>
      <c r="I3" s="1872"/>
      <c r="J3" s="1872"/>
      <c r="K3" s="1873"/>
      <c r="L3" s="1893" t="s">
        <v>173</v>
      </c>
      <c r="M3" s="1884"/>
      <c r="N3" s="1872"/>
      <c r="O3" s="1863"/>
      <c r="P3" s="1864"/>
      <c r="Q3" s="1875" t="s">
        <v>174</v>
      </c>
      <c r="R3" s="1876"/>
      <c r="S3" s="1877"/>
      <c r="T3" s="1861"/>
      <c r="U3" s="1865"/>
      <c r="V3" s="1876" t="s">
        <v>127</v>
      </c>
      <c r="W3" s="1876"/>
      <c r="X3" s="1877"/>
      <c r="Y3" s="1861"/>
      <c r="Z3" s="1861"/>
      <c r="AA3" s="1877" t="s">
        <v>49</v>
      </c>
      <c r="AB3" s="1877"/>
      <c r="AC3" s="1877"/>
      <c r="AD3" s="1877"/>
      <c r="AE3" s="1877"/>
      <c r="AF3" s="1862"/>
      <c r="AG3" s="1875" t="s">
        <v>116</v>
      </c>
      <c r="AH3" s="1876"/>
      <c r="AI3" s="1877"/>
      <c r="AJ3" s="1877"/>
      <c r="AK3" s="1862"/>
      <c r="AL3" s="1875" t="s">
        <v>129</v>
      </c>
      <c r="AM3" s="1876"/>
      <c r="AN3" s="1877"/>
      <c r="AO3" s="1877"/>
      <c r="AP3" s="1878"/>
      <c r="AQ3" s="935"/>
      <c r="AR3" s="935"/>
      <c r="AS3" s="935"/>
      <c r="AT3" s="935"/>
      <c r="AU3" s="935"/>
      <c r="AV3" s="935"/>
      <c r="AW3" s="935"/>
      <c r="AX3" s="935"/>
      <c r="AY3" s="935"/>
      <c r="AZ3" s="935"/>
      <c r="BA3" s="935"/>
      <c r="BB3" s="935"/>
      <c r="BC3" s="935"/>
      <c r="BD3" s="935"/>
      <c r="BE3" s="935"/>
      <c r="BF3" s="935"/>
      <c r="BG3" s="935"/>
      <c r="BH3" s="935"/>
      <c r="BI3" s="935"/>
      <c r="BJ3" s="935"/>
      <c r="BK3" s="935"/>
      <c r="BL3" s="935"/>
      <c r="BM3" s="935"/>
      <c r="BN3" s="935"/>
      <c r="BO3" s="935"/>
      <c r="BP3" s="935"/>
      <c r="BQ3" s="935"/>
      <c r="BR3" s="935"/>
      <c r="BS3" s="935"/>
      <c r="BT3" s="935"/>
      <c r="BU3" s="935"/>
      <c r="BV3" s="935"/>
      <c r="BW3" s="935"/>
      <c r="BX3" s="935"/>
      <c r="BY3" s="935"/>
      <c r="BZ3" s="935"/>
      <c r="CA3" s="935"/>
      <c r="CB3" s="935"/>
      <c r="CC3" s="935"/>
      <c r="CD3" s="935"/>
      <c r="CE3" s="935"/>
      <c r="CF3" s="935"/>
      <c r="CG3" s="935"/>
      <c r="CH3" s="935"/>
      <c r="CI3" s="935"/>
      <c r="CJ3" s="935"/>
      <c r="CK3" s="935"/>
      <c r="CL3" s="935"/>
      <c r="CM3" s="935"/>
      <c r="CN3" s="935"/>
      <c r="CO3" s="935"/>
      <c r="CP3" s="935"/>
      <c r="CQ3" s="935"/>
      <c r="CR3" s="935"/>
      <c r="CS3" s="935"/>
      <c r="CT3" s="935"/>
      <c r="CU3" s="935"/>
      <c r="CV3" s="935"/>
      <c r="CW3" s="935"/>
      <c r="CX3" s="935"/>
      <c r="CY3" s="935"/>
      <c r="CZ3" s="935"/>
      <c r="DA3" s="935"/>
      <c r="DB3" s="935"/>
      <c r="DC3" s="935"/>
      <c r="DD3" s="935"/>
      <c r="DE3" s="935"/>
      <c r="DF3" s="935"/>
      <c r="DG3" s="935"/>
      <c r="DH3" s="935"/>
      <c r="DI3" s="935"/>
      <c r="DJ3" s="935"/>
      <c r="DK3" s="935"/>
      <c r="DL3" s="935"/>
      <c r="DM3" s="935"/>
      <c r="DN3" s="935"/>
      <c r="DO3" s="935"/>
      <c r="DP3" s="935"/>
      <c r="DQ3" s="935"/>
      <c r="DR3" s="935"/>
      <c r="DS3" s="935"/>
      <c r="DT3" s="935"/>
      <c r="DU3" s="935"/>
      <c r="DV3" s="935"/>
      <c r="DW3" s="935"/>
      <c r="DX3" s="935"/>
      <c r="DY3" s="935"/>
      <c r="DZ3" s="935"/>
      <c r="EA3" s="935"/>
      <c r="EB3" s="935"/>
      <c r="EC3" s="935"/>
      <c r="ED3" s="935"/>
      <c r="EE3" s="935"/>
      <c r="EF3" s="935"/>
      <c r="EG3" s="935"/>
      <c r="EH3" s="935"/>
      <c r="EI3" s="935"/>
      <c r="EJ3" s="935"/>
      <c r="EK3" s="935"/>
      <c r="EL3" s="935"/>
      <c r="EM3" s="935"/>
      <c r="EN3" s="935"/>
      <c r="EO3" s="935"/>
    </row>
    <row r="4" spans="1:145" s="826" customFormat="1" ht="12.75">
      <c r="A4" s="535" t="s">
        <v>13</v>
      </c>
      <c r="B4" s="209">
        <f aca="true" t="shared" si="0" ref="B4:B10">SUM(C4-D4)/D4</f>
        <v>-0.10417710563476518</v>
      </c>
      <c r="C4" s="697">
        <v>19666</v>
      </c>
      <c r="D4" s="1010">
        <v>21953</v>
      </c>
      <c r="E4" s="1010">
        <v>15777</v>
      </c>
      <c r="F4" s="1157">
        <v>12729</v>
      </c>
      <c r="G4" s="1163">
        <f aca="true" t="shared" si="1" ref="G4:G10">SUM(H4-I4)/I4</f>
        <v>0.1800195067576982</v>
      </c>
      <c r="H4" s="1177">
        <v>8469</v>
      </c>
      <c r="I4" s="1164">
        <v>7177</v>
      </c>
      <c r="J4" s="1164">
        <v>7166</v>
      </c>
      <c r="K4" s="1165">
        <v>7946</v>
      </c>
      <c r="L4" s="1160">
        <f aca="true" t="shared" si="2" ref="L4:L10">SUM(M4-N4)/N4</f>
        <v>-0.14914751667902149</v>
      </c>
      <c r="M4" s="1178">
        <v>5739</v>
      </c>
      <c r="N4" s="925">
        <v>6745</v>
      </c>
      <c r="O4" s="925">
        <v>12704</v>
      </c>
      <c r="P4" s="926">
        <v>7963</v>
      </c>
      <c r="Q4" s="998">
        <f aca="true" t="shared" si="3" ref="Q4:Q10">SUM(R4-S4)/S4</f>
        <v>0.6371100164203612</v>
      </c>
      <c r="R4" s="1179">
        <v>1994</v>
      </c>
      <c r="S4" s="927">
        <v>1218</v>
      </c>
      <c r="T4" s="927">
        <v>914</v>
      </c>
      <c r="U4" s="928">
        <v>1500</v>
      </c>
      <c r="V4" s="1148">
        <f aca="true" t="shared" si="4" ref="V4:V10">SUM(W4-X4)/X4</f>
        <v>-0.03302509907529723</v>
      </c>
      <c r="W4" s="518">
        <f aca="true" t="shared" si="5" ref="W4:X15">+C4+H4+M4+R4</f>
        <v>35868</v>
      </c>
      <c r="X4" s="518">
        <f t="shared" si="5"/>
        <v>37093</v>
      </c>
      <c r="Y4" s="518">
        <f aca="true" t="shared" si="6" ref="Y4:Y15">+E4+J4+O4+T4</f>
        <v>36561</v>
      </c>
      <c r="Z4" s="892">
        <f aca="true" t="shared" si="7" ref="Z4:Z15">+F4+K4+P4+U4</f>
        <v>30138</v>
      </c>
      <c r="AA4" s="143">
        <f aca="true" t="shared" si="8" ref="AA4:AA10">SUM(AB4-AC4)/AC4</f>
        <v>-0.2504179925570358</v>
      </c>
      <c r="AB4" s="725">
        <v>13898</v>
      </c>
      <c r="AC4" s="725">
        <v>18541</v>
      </c>
      <c r="AD4" s="725">
        <v>11318</v>
      </c>
      <c r="AE4" s="725">
        <v>10052</v>
      </c>
      <c r="AF4" s="725">
        <v>7157</v>
      </c>
      <c r="AG4" s="1146">
        <f aca="true" t="shared" si="9" ref="AG4:AG10">SUM(AH4-AI4)/AI4</f>
        <v>-0.10547506920228637</v>
      </c>
      <c r="AH4" s="197">
        <f aca="true" t="shared" si="10" ref="AH4:AI16">+W4+AB4</f>
        <v>49766</v>
      </c>
      <c r="AI4" s="197">
        <f t="shared" si="10"/>
        <v>55634</v>
      </c>
      <c r="AJ4" s="197">
        <f aca="true" t="shared" si="11" ref="AJ4:AJ16">+Y4+AD4</f>
        <v>47879</v>
      </c>
      <c r="AK4" s="802">
        <f aca="true" t="shared" si="12" ref="AK4:AK16">+Z4+AE4</f>
        <v>40190</v>
      </c>
      <c r="AL4" s="141">
        <f aca="true" t="shared" si="13" ref="AL4:AL10">SUM(AM4-AN4)/AN4</f>
        <v>0.021401318947873765</v>
      </c>
      <c r="AM4" s="948">
        <v>444664</v>
      </c>
      <c r="AN4" s="948">
        <v>435347</v>
      </c>
      <c r="AO4" s="948">
        <v>418803</v>
      </c>
      <c r="AP4" s="970">
        <v>368725</v>
      </c>
      <c r="AQ4" s="934"/>
      <c r="AR4" s="934"/>
      <c r="AS4" s="934"/>
      <c r="AT4" s="934"/>
      <c r="AU4" s="934"/>
      <c r="AV4" s="934"/>
      <c r="AW4" s="934"/>
      <c r="AX4" s="934"/>
      <c r="AY4" s="934"/>
      <c r="AZ4" s="934"/>
      <c r="BA4" s="934"/>
      <c r="BB4" s="934"/>
      <c r="BC4" s="934"/>
      <c r="BD4" s="934"/>
      <c r="BE4" s="934"/>
      <c r="BF4" s="934"/>
      <c r="BG4" s="934"/>
      <c r="BH4" s="934"/>
      <c r="BI4" s="934"/>
      <c r="BJ4" s="934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4"/>
      <c r="BZ4" s="934"/>
      <c r="CA4" s="934"/>
      <c r="CB4" s="934"/>
      <c r="CC4" s="934"/>
      <c r="CD4" s="934"/>
      <c r="CE4" s="934"/>
      <c r="CF4" s="934"/>
      <c r="CG4" s="934"/>
      <c r="CH4" s="934"/>
      <c r="CI4" s="934"/>
      <c r="CJ4" s="934"/>
      <c r="CK4" s="934"/>
      <c r="CL4" s="934"/>
      <c r="CM4" s="934"/>
      <c r="CN4" s="934"/>
      <c r="CO4" s="934"/>
      <c r="CP4" s="934"/>
      <c r="CQ4" s="934"/>
      <c r="CR4" s="934"/>
      <c r="CS4" s="934"/>
      <c r="CT4" s="934"/>
      <c r="CU4" s="934"/>
      <c r="CV4" s="934"/>
      <c r="CW4" s="934"/>
      <c r="CX4" s="934"/>
      <c r="CY4" s="934"/>
      <c r="CZ4" s="934"/>
      <c r="DA4" s="934"/>
      <c r="DB4" s="934"/>
      <c r="DC4" s="934"/>
      <c r="DD4" s="934"/>
      <c r="DE4" s="934"/>
      <c r="DF4" s="934"/>
      <c r="DG4" s="934"/>
      <c r="DH4" s="934"/>
      <c r="DI4" s="934"/>
      <c r="DJ4" s="934"/>
      <c r="DK4" s="934"/>
      <c r="DL4" s="934"/>
      <c r="DM4" s="934"/>
      <c r="DN4" s="934"/>
      <c r="DO4" s="934"/>
      <c r="DP4" s="934"/>
      <c r="DQ4" s="934"/>
      <c r="DR4" s="934"/>
      <c r="DS4" s="934"/>
      <c r="DT4" s="934"/>
      <c r="DU4" s="934"/>
      <c r="DV4" s="934"/>
      <c r="DW4" s="934"/>
      <c r="DX4" s="934"/>
      <c r="DY4" s="934"/>
      <c r="DZ4" s="934"/>
      <c r="EA4" s="934"/>
      <c r="EB4" s="934"/>
      <c r="EC4" s="934"/>
      <c r="ED4" s="934"/>
      <c r="EE4" s="934"/>
      <c r="EF4" s="934"/>
      <c r="EG4" s="934"/>
      <c r="EH4" s="934"/>
      <c r="EI4" s="934"/>
      <c r="EJ4" s="934"/>
      <c r="EK4" s="934"/>
      <c r="EL4" s="934"/>
      <c r="EM4" s="934"/>
      <c r="EN4" s="934"/>
      <c r="EO4" s="934"/>
    </row>
    <row r="5" spans="1:145" s="826" customFormat="1" ht="12.75">
      <c r="A5" s="539" t="s">
        <v>14</v>
      </c>
      <c r="B5" s="218">
        <f t="shared" si="0"/>
        <v>0.02160089316052619</v>
      </c>
      <c r="C5" s="743">
        <v>21046</v>
      </c>
      <c r="D5" s="743">
        <v>20601</v>
      </c>
      <c r="E5" s="743">
        <v>15394</v>
      </c>
      <c r="F5" s="1158">
        <v>14519</v>
      </c>
      <c r="G5" s="1166">
        <f t="shared" si="1"/>
        <v>0.028925167086665936</v>
      </c>
      <c r="H5" s="941">
        <v>9391</v>
      </c>
      <c r="I5" s="941">
        <v>9127</v>
      </c>
      <c r="J5" s="941">
        <v>9414</v>
      </c>
      <c r="K5" s="1167">
        <v>9468</v>
      </c>
      <c r="L5" s="1345">
        <f t="shared" si="2"/>
        <v>0.09737960339943343</v>
      </c>
      <c r="M5" s="929">
        <v>6198</v>
      </c>
      <c r="N5" s="929">
        <v>5648</v>
      </c>
      <c r="O5" s="929">
        <v>7566</v>
      </c>
      <c r="P5" s="930">
        <v>6445</v>
      </c>
      <c r="Q5" s="907">
        <f t="shared" si="3"/>
        <v>0.27010309278350514</v>
      </c>
      <c r="R5" s="931">
        <v>1232</v>
      </c>
      <c r="S5" s="931">
        <v>970</v>
      </c>
      <c r="T5" s="931">
        <v>1906</v>
      </c>
      <c r="U5" s="932">
        <v>2476</v>
      </c>
      <c r="V5" s="1149">
        <f t="shared" si="4"/>
        <v>0.04184779618114785</v>
      </c>
      <c r="W5" s="246">
        <f t="shared" si="5"/>
        <v>37867</v>
      </c>
      <c r="X5" s="246">
        <f t="shared" si="5"/>
        <v>36346</v>
      </c>
      <c r="Y5" s="246">
        <f t="shared" si="6"/>
        <v>34280</v>
      </c>
      <c r="Z5" s="893">
        <f t="shared" si="7"/>
        <v>32908</v>
      </c>
      <c r="AA5" s="132">
        <f t="shared" si="8"/>
        <v>-0.2558357649020425</v>
      </c>
      <c r="AB5" s="682">
        <v>14282</v>
      </c>
      <c r="AC5" s="682">
        <v>19192</v>
      </c>
      <c r="AD5" s="682">
        <v>9509</v>
      </c>
      <c r="AE5" s="682">
        <v>10423</v>
      </c>
      <c r="AF5" s="682">
        <v>7951</v>
      </c>
      <c r="AG5" s="120">
        <f t="shared" si="9"/>
        <v>-0.06102128272534121</v>
      </c>
      <c r="AH5" s="121">
        <f t="shared" si="10"/>
        <v>52149</v>
      </c>
      <c r="AI5" s="121">
        <f t="shared" si="10"/>
        <v>55538</v>
      </c>
      <c r="AJ5" s="121">
        <f t="shared" si="11"/>
        <v>43789</v>
      </c>
      <c r="AK5" s="803">
        <f t="shared" si="12"/>
        <v>43331</v>
      </c>
      <c r="AL5" s="119">
        <f t="shared" si="13"/>
        <v>-0.0008971730762857509</v>
      </c>
      <c r="AM5" s="38">
        <v>422059</v>
      </c>
      <c r="AN5" s="38">
        <v>422438</v>
      </c>
      <c r="AO5" s="38">
        <v>400511</v>
      </c>
      <c r="AP5" s="917">
        <v>375567</v>
      </c>
      <c r="AQ5" s="934"/>
      <c r="AR5" s="934"/>
      <c r="AS5" s="934"/>
      <c r="AT5" s="934"/>
      <c r="AU5" s="934"/>
      <c r="AV5" s="934"/>
      <c r="AW5" s="934"/>
      <c r="AX5" s="934"/>
      <c r="AY5" s="934"/>
      <c r="AZ5" s="934"/>
      <c r="BA5" s="934"/>
      <c r="BB5" s="934"/>
      <c r="BC5" s="934"/>
      <c r="BD5" s="934"/>
      <c r="BE5" s="934"/>
      <c r="BF5" s="934"/>
      <c r="BG5" s="934"/>
      <c r="BH5" s="934"/>
      <c r="BI5" s="934"/>
      <c r="BJ5" s="934"/>
      <c r="BK5" s="934"/>
      <c r="BL5" s="934"/>
      <c r="BM5" s="934"/>
      <c r="BN5" s="934"/>
      <c r="BO5" s="934"/>
      <c r="BP5" s="934"/>
      <c r="BQ5" s="934"/>
      <c r="BR5" s="934"/>
      <c r="BS5" s="934"/>
      <c r="BT5" s="934"/>
      <c r="BU5" s="934"/>
      <c r="BV5" s="934"/>
      <c r="BW5" s="934"/>
      <c r="BX5" s="934"/>
      <c r="BY5" s="934"/>
      <c r="BZ5" s="934"/>
      <c r="CA5" s="934"/>
      <c r="CB5" s="934"/>
      <c r="CC5" s="934"/>
      <c r="CD5" s="934"/>
      <c r="CE5" s="934"/>
      <c r="CF5" s="934"/>
      <c r="CG5" s="934"/>
      <c r="CH5" s="934"/>
      <c r="CI5" s="934"/>
      <c r="CJ5" s="934"/>
      <c r="CK5" s="934"/>
      <c r="CL5" s="934"/>
      <c r="CM5" s="934"/>
      <c r="CN5" s="934"/>
      <c r="CO5" s="934"/>
      <c r="CP5" s="934"/>
      <c r="CQ5" s="934"/>
      <c r="CR5" s="934"/>
      <c r="CS5" s="934"/>
      <c r="CT5" s="934"/>
      <c r="CU5" s="934"/>
      <c r="CV5" s="934"/>
      <c r="CW5" s="934"/>
      <c r="CX5" s="934"/>
      <c r="CY5" s="934"/>
      <c r="CZ5" s="934"/>
      <c r="DA5" s="934"/>
      <c r="DB5" s="934"/>
      <c r="DC5" s="934"/>
      <c r="DD5" s="934"/>
      <c r="DE5" s="934"/>
      <c r="DF5" s="934"/>
      <c r="DG5" s="934"/>
      <c r="DH5" s="934"/>
      <c r="DI5" s="934"/>
      <c r="DJ5" s="934"/>
      <c r="DK5" s="934"/>
      <c r="DL5" s="934"/>
      <c r="DM5" s="934"/>
      <c r="DN5" s="934"/>
      <c r="DO5" s="934"/>
      <c r="DP5" s="934"/>
      <c r="DQ5" s="934"/>
      <c r="DR5" s="934"/>
      <c r="DS5" s="934"/>
      <c r="DT5" s="934"/>
      <c r="DU5" s="934"/>
      <c r="DV5" s="934"/>
      <c r="DW5" s="934"/>
      <c r="DX5" s="934"/>
      <c r="DY5" s="934"/>
      <c r="DZ5" s="934"/>
      <c r="EA5" s="934"/>
      <c r="EB5" s="934"/>
      <c r="EC5" s="934"/>
      <c r="ED5" s="934"/>
      <c r="EE5" s="934"/>
      <c r="EF5" s="934"/>
      <c r="EG5" s="934"/>
      <c r="EH5" s="934"/>
      <c r="EI5" s="934"/>
      <c r="EJ5" s="934"/>
      <c r="EK5" s="934"/>
      <c r="EL5" s="934"/>
      <c r="EM5" s="934"/>
      <c r="EN5" s="934"/>
      <c r="EO5" s="934"/>
    </row>
    <row r="6" spans="1:145" s="826" customFormat="1" ht="12.75">
      <c r="A6" s="539" t="s">
        <v>15</v>
      </c>
      <c r="B6" s="218">
        <f t="shared" si="0"/>
        <v>0.12395592678158877</v>
      </c>
      <c r="C6" s="743">
        <v>25298</v>
      </c>
      <c r="D6" s="743">
        <v>22508</v>
      </c>
      <c r="E6" s="743">
        <v>18011</v>
      </c>
      <c r="F6" s="1158">
        <v>16872</v>
      </c>
      <c r="G6" s="1166">
        <f t="shared" si="1"/>
        <v>0.06007179054054054</v>
      </c>
      <c r="H6" s="941">
        <v>10041</v>
      </c>
      <c r="I6" s="941">
        <v>9472</v>
      </c>
      <c r="J6" s="941">
        <v>9787</v>
      </c>
      <c r="K6" s="1168">
        <v>9185</v>
      </c>
      <c r="L6" s="1345">
        <f t="shared" si="2"/>
        <v>-0.5338206415012001</v>
      </c>
      <c r="M6" s="929">
        <v>4273</v>
      </c>
      <c r="N6" s="929">
        <v>9166</v>
      </c>
      <c r="O6" s="929">
        <v>5552</v>
      </c>
      <c r="P6" s="930">
        <v>6424</v>
      </c>
      <c r="Q6" s="907">
        <f t="shared" si="3"/>
        <v>-0.012658227848101266</v>
      </c>
      <c r="R6" s="931">
        <v>1404</v>
      </c>
      <c r="S6" s="931">
        <v>1422</v>
      </c>
      <c r="T6" s="931">
        <v>1352</v>
      </c>
      <c r="U6" s="932">
        <v>2382</v>
      </c>
      <c r="V6" s="1149">
        <f t="shared" si="4"/>
        <v>-0.03645931215936854</v>
      </c>
      <c r="W6" s="246">
        <f>+C6+H6+M6+R6</f>
        <v>41016</v>
      </c>
      <c r="X6" s="246">
        <f t="shared" si="5"/>
        <v>42568</v>
      </c>
      <c r="Y6" s="246">
        <f t="shared" si="6"/>
        <v>34702</v>
      </c>
      <c r="Z6" s="893">
        <f t="shared" si="7"/>
        <v>34863</v>
      </c>
      <c r="AA6" s="132">
        <f t="shared" si="8"/>
        <v>-0.19725952315702933</v>
      </c>
      <c r="AB6" s="682">
        <v>14646</v>
      </c>
      <c r="AC6" s="682">
        <v>18245</v>
      </c>
      <c r="AD6" s="682">
        <v>9514</v>
      </c>
      <c r="AE6" s="682">
        <v>12186</v>
      </c>
      <c r="AF6" s="682">
        <v>8012</v>
      </c>
      <c r="AG6" s="120">
        <f t="shared" si="9"/>
        <v>-0.0847022840511075</v>
      </c>
      <c r="AH6" s="121">
        <f>+W6+AB6</f>
        <v>55662</v>
      </c>
      <c r="AI6" s="121">
        <f t="shared" si="10"/>
        <v>60813</v>
      </c>
      <c r="AJ6" s="121">
        <f t="shared" si="11"/>
        <v>44216</v>
      </c>
      <c r="AK6" s="803">
        <f t="shared" si="12"/>
        <v>47049</v>
      </c>
      <c r="AL6" s="119">
        <f t="shared" si="13"/>
        <v>-0.0742717016081502</v>
      </c>
      <c r="AM6" s="38">
        <v>439795</v>
      </c>
      <c r="AN6" s="38">
        <v>475080</v>
      </c>
      <c r="AO6" s="38">
        <v>395129</v>
      </c>
      <c r="AP6" s="917">
        <v>390967</v>
      </c>
      <c r="AQ6" s="934"/>
      <c r="AR6" s="934"/>
      <c r="AS6" s="934"/>
      <c r="AT6" s="934"/>
      <c r="AU6" s="934"/>
      <c r="AV6" s="934"/>
      <c r="AW6" s="934"/>
      <c r="AX6" s="934"/>
      <c r="AY6" s="934"/>
      <c r="AZ6" s="934"/>
      <c r="BA6" s="934"/>
      <c r="BB6" s="934"/>
      <c r="BC6" s="934"/>
      <c r="BD6" s="934"/>
      <c r="BE6" s="934"/>
      <c r="BF6" s="934"/>
      <c r="BG6" s="934"/>
      <c r="BH6" s="934"/>
      <c r="BI6" s="934"/>
      <c r="BJ6" s="934"/>
      <c r="BK6" s="934"/>
      <c r="BL6" s="934"/>
      <c r="BM6" s="934"/>
      <c r="BN6" s="934"/>
      <c r="BO6" s="934"/>
      <c r="BP6" s="934"/>
      <c r="BQ6" s="934"/>
      <c r="BR6" s="934"/>
      <c r="BS6" s="934"/>
      <c r="BT6" s="934"/>
      <c r="BU6" s="934"/>
      <c r="BV6" s="934"/>
      <c r="BW6" s="934"/>
      <c r="BX6" s="934"/>
      <c r="BY6" s="934"/>
      <c r="BZ6" s="934"/>
      <c r="CA6" s="934"/>
      <c r="CB6" s="934"/>
      <c r="CC6" s="934"/>
      <c r="CD6" s="934"/>
      <c r="CE6" s="934"/>
      <c r="CF6" s="934"/>
      <c r="CG6" s="934"/>
      <c r="CH6" s="934"/>
      <c r="CI6" s="934"/>
      <c r="CJ6" s="934"/>
      <c r="CK6" s="934"/>
      <c r="CL6" s="934"/>
      <c r="CM6" s="934"/>
      <c r="CN6" s="934"/>
      <c r="CO6" s="934"/>
      <c r="CP6" s="934"/>
      <c r="CQ6" s="934"/>
      <c r="CR6" s="934"/>
      <c r="CS6" s="934"/>
      <c r="CT6" s="934"/>
      <c r="CU6" s="934"/>
      <c r="CV6" s="934"/>
      <c r="CW6" s="934"/>
      <c r="CX6" s="934"/>
      <c r="CY6" s="934"/>
      <c r="CZ6" s="934"/>
      <c r="DA6" s="934"/>
      <c r="DB6" s="934"/>
      <c r="DC6" s="934"/>
      <c r="DD6" s="934"/>
      <c r="DE6" s="934"/>
      <c r="DF6" s="934"/>
      <c r="DG6" s="934"/>
      <c r="DH6" s="934"/>
      <c r="DI6" s="934"/>
      <c r="DJ6" s="934"/>
      <c r="DK6" s="934"/>
      <c r="DL6" s="934"/>
      <c r="DM6" s="934"/>
      <c r="DN6" s="934"/>
      <c r="DO6" s="934"/>
      <c r="DP6" s="934"/>
      <c r="DQ6" s="934"/>
      <c r="DR6" s="934"/>
      <c r="DS6" s="934"/>
      <c r="DT6" s="934"/>
      <c r="DU6" s="934"/>
      <c r="DV6" s="934"/>
      <c r="DW6" s="934"/>
      <c r="DX6" s="934"/>
      <c r="DY6" s="934"/>
      <c r="DZ6" s="934"/>
      <c r="EA6" s="934"/>
      <c r="EB6" s="934"/>
      <c r="EC6" s="934"/>
      <c r="ED6" s="934"/>
      <c r="EE6" s="934"/>
      <c r="EF6" s="934"/>
      <c r="EG6" s="934"/>
      <c r="EH6" s="934"/>
      <c r="EI6" s="934"/>
      <c r="EJ6" s="934"/>
      <c r="EK6" s="934"/>
      <c r="EL6" s="934"/>
      <c r="EM6" s="934"/>
      <c r="EN6" s="934"/>
      <c r="EO6" s="934"/>
    </row>
    <row r="7" spans="1:145" s="826" customFormat="1" ht="12.75">
      <c r="A7" s="539" t="s">
        <v>16</v>
      </c>
      <c r="B7" s="218">
        <f t="shared" si="0"/>
        <v>-0.13513287648336955</v>
      </c>
      <c r="C7" s="743">
        <v>20698</v>
      </c>
      <c r="D7" s="743">
        <v>23932</v>
      </c>
      <c r="E7" s="743">
        <v>19614</v>
      </c>
      <c r="F7" s="1158">
        <v>15334</v>
      </c>
      <c r="G7" s="1166">
        <f t="shared" si="1"/>
        <v>0.03982654342120279</v>
      </c>
      <c r="H7" s="941">
        <v>9112</v>
      </c>
      <c r="I7" s="941">
        <v>8763</v>
      </c>
      <c r="J7" s="941">
        <v>8299</v>
      </c>
      <c r="K7" s="1167">
        <v>10140</v>
      </c>
      <c r="L7" s="1345">
        <f t="shared" si="2"/>
        <v>-0.32452932412298524</v>
      </c>
      <c r="M7" s="929">
        <v>4987</v>
      </c>
      <c r="N7" s="929">
        <v>7383</v>
      </c>
      <c r="O7" s="929">
        <v>8357</v>
      </c>
      <c r="P7" s="930">
        <v>5943</v>
      </c>
      <c r="Q7" s="907">
        <f t="shared" si="3"/>
        <v>0.0027210884353741495</v>
      </c>
      <c r="R7" s="931">
        <v>1474</v>
      </c>
      <c r="S7" s="931">
        <v>1470</v>
      </c>
      <c r="T7" s="931">
        <v>1920</v>
      </c>
      <c r="U7" s="932">
        <v>2358</v>
      </c>
      <c r="V7" s="1149">
        <f t="shared" si="4"/>
        <v>-0.1270097236930779</v>
      </c>
      <c r="W7" s="246">
        <f>+C7+H7+M7+R7</f>
        <v>36271</v>
      </c>
      <c r="X7" s="246">
        <f t="shared" si="5"/>
        <v>41548</v>
      </c>
      <c r="Y7" s="246">
        <f t="shared" si="6"/>
        <v>38190</v>
      </c>
      <c r="Z7" s="893">
        <f t="shared" si="7"/>
        <v>33775</v>
      </c>
      <c r="AA7" s="132">
        <f t="shared" si="8"/>
        <v>-0.20519196943046036</v>
      </c>
      <c r="AB7" s="682">
        <v>13104</v>
      </c>
      <c r="AC7" s="682">
        <v>16487</v>
      </c>
      <c r="AD7" s="682">
        <v>9201</v>
      </c>
      <c r="AE7" s="682">
        <v>13403</v>
      </c>
      <c r="AF7" s="682">
        <v>8325</v>
      </c>
      <c r="AG7" s="120">
        <f t="shared" si="9"/>
        <v>-0.14922029809597656</v>
      </c>
      <c r="AH7" s="121">
        <f>+W7+AB7</f>
        <v>49375</v>
      </c>
      <c r="AI7" s="121">
        <f t="shared" si="10"/>
        <v>58035</v>
      </c>
      <c r="AJ7" s="121">
        <f t="shared" si="11"/>
        <v>47391</v>
      </c>
      <c r="AK7" s="803">
        <f t="shared" si="12"/>
        <v>47178</v>
      </c>
      <c r="AL7" s="119">
        <f t="shared" si="13"/>
        <v>-0.17691519315979712</v>
      </c>
      <c r="AM7" s="38">
        <v>375046</v>
      </c>
      <c r="AN7" s="38">
        <v>455659</v>
      </c>
      <c r="AO7" s="38">
        <v>403569</v>
      </c>
      <c r="AP7" s="917">
        <v>317627</v>
      </c>
      <c r="AQ7" s="934"/>
      <c r="AR7" s="934"/>
      <c r="AS7" s="934"/>
      <c r="AT7" s="934"/>
      <c r="AU7" s="934"/>
      <c r="AV7" s="934"/>
      <c r="AW7" s="934"/>
      <c r="AX7" s="934"/>
      <c r="AY7" s="934"/>
      <c r="AZ7" s="934"/>
      <c r="BA7" s="934"/>
      <c r="BB7" s="934"/>
      <c r="BC7" s="934"/>
      <c r="BD7" s="934"/>
      <c r="BE7" s="934"/>
      <c r="BF7" s="934"/>
      <c r="BG7" s="934"/>
      <c r="BH7" s="934"/>
      <c r="BI7" s="934"/>
      <c r="BJ7" s="934"/>
      <c r="BK7" s="934"/>
      <c r="BL7" s="934"/>
      <c r="BM7" s="934"/>
      <c r="BN7" s="934"/>
      <c r="BO7" s="934"/>
      <c r="BP7" s="934"/>
      <c r="BQ7" s="934"/>
      <c r="BR7" s="934"/>
      <c r="BS7" s="934"/>
      <c r="BT7" s="934"/>
      <c r="BU7" s="934"/>
      <c r="BV7" s="934"/>
      <c r="BW7" s="934"/>
      <c r="BX7" s="934"/>
      <c r="BY7" s="934"/>
      <c r="BZ7" s="934"/>
      <c r="CA7" s="934"/>
      <c r="CB7" s="934"/>
      <c r="CC7" s="934"/>
      <c r="CD7" s="934"/>
      <c r="CE7" s="934"/>
      <c r="CF7" s="934"/>
      <c r="CG7" s="934"/>
      <c r="CH7" s="934"/>
      <c r="CI7" s="934"/>
      <c r="CJ7" s="934"/>
      <c r="CK7" s="934"/>
      <c r="CL7" s="934"/>
      <c r="CM7" s="934"/>
      <c r="CN7" s="934"/>
      <c r="CO7" s="934"/>
      <c r="CP7" s="934"/>
      <c r="CQ7" s="934"/>
      <c r="CR7" s="934"/>
      <c r="CS7" s="934"/>
      <c r="CT7" s="934"/>
      <c r="CU7" s="934"/>
      <c r="CV7" s="934"/>
      <c r="CW7" s="934"/>
      <c r="CX7" s="934"/>
      <c r="CY7" s="934"/>
      <c r="CZ7" s="934"/>
      <c r="DA7" s="934"/>
      <c r="DB7" s="934"/>
      <c r="DC7" s="934"/>
      <c r="DD7" s="934"/>
      <c r="DE7" s="934"/>
      <c r="DF7" s="934"/>
      <c r="DG7" s="934"/>
      <c r="DH7" s="934"/>
      <c r="DI7" s="934"/>
      <c r="DJ7" s="934"/>
      <c r="DK7" s="934"/>
      <c r="DL7" s="934"/>
      <c r="DM7" s="934"/>
      <c r="DN7" s="934"/>
      <c r="DO7" s="934"/>
      <c r="DP7" s="934"/>
      <c r="DQ7" s="934"/>
      <c r="DR7" s="934"/>
      <c r="DS7" s="934"/>
      <c r="DT7" s="934"/>
      <c r="DU7" s="934"/>
      <c r="DV7" s="934"/>
      <c r="DW7" s="934"/>
      <c r="DX7" s="934"/>
      <c r="DY7" s="934"/>
      <c r="DZ7" s="934"/>
      <c r="EA7" s="934"/>
      <c r="EB7" s="934"/>
      <c r="EC7" s="934"/>
      <c r="ED7" s="934"/>
      <c r="EE7" s="934"/>
      <c r="EF7" s="934"/>
      <c r="EG7" s="934"/>
      <c r="EH7" s="934"/>
      <c r="EI7" s="934"/>
      <c r="EJ7" s="934"/>
      <c r="EK7" s="934"/>
      <c r="EL7" s="934"/>
      <c r="EM7" s="934"/>
      <c r="EN7" s="934"/>
      <c r="EO7" s="934"/>
    </row>
    <row r="8" spans="1:145" s="826" customFormat="1" ht="12.75">
      <c r="A8" s="539" t="s">
        <v>17</v>
      </c>
      <c r="B8" s="218">
        <f t="shared" si="0"/>
        <v>0.14803802315628237</v>
      </c>
      <c r="C8" s="743">
        <v>25483</v>
      </c>
      <c r="D8" s="743">
        <v>22197</v>
      </c>
      <c r="E8" s="743">
        <v>21377</v>
      </c>
      <c r="F8" s="1158">
        <v>17171</v>
      </c>
      <c r="G8" s="1166">
        <f t="shared" si="1"/>
        <v>0.25539189900052606</v>
      </c>
      <c r="H8" s="941">
        <v>9546</v>
      </c>
      <c r="I8" s="941">
        <v>7604</v>
      </c>
      <c r="J8" s="941">
        <v>9394</v>
      </c>
      <c r="K8" s="1167">
        <v>9680</v>
      </c>
      <c r="L8" s="1345">
        <f t="shared" si="2"/>
        <v>-0.5504863813229572</v>
      </c>
      <c r="M8" s="929">
        <v>4621</v>
      </c>
      <c r="N8" s="929">
        <v>10280</v>
      </c>
      <c r="O8" s="929">
        <v>8469</v>
      </c>
      <c r="P8" s="930">
        <v>4925</v>
      </c>
      <c r="Q8" s="907">
        <f t="shared" si="3"/>
        <v>0.4308823529411765</v>
      </c>
      <c r="R8" s="931">
        <v>1946</v>
      </c>
      <c r="S8" s="931">
        <v>1360</v>
      </c>
      <c r="T8" s="931">
        <v>1678</v>
      </c>
      <c r="U8" s="932">
        <v>2180</v>
      </c>
      <c r="V8" s="1149">
        <f t="shared" si="4"/>
        <v>0.003740257233174875</v>
      </c>
      <c r="W8" s="246">
        <f>+C8+H8+M8+R8</f>
        <v>41596</v>
      </c>
      <c r="X8" s="246">
        <f t="shared" si="5"/>
        <v>41441</v>
      </c>
      <c r="Y8" s="246">
        <f t="shared" si="6"/>
        <v>40918</v>
      </c>
      <c r="Z8" s="893">
        <f t="shared" si="7"/>
        <v>33956</v>
      </c>
      <c r="AA8" s="132">
        <f t="shared" si="8"/>
        <v>-0.23190780779193318</v>
      </c>
      <c r="AB8" s="682">
        <v>14530</v>
      </c>
      <c r="AC8" s="682">
        <v>18917</v>
      </c>
      <c r="AD8" s="682">
        <v>10939</v>
      </c>
      <c r="AE8" s="682">
        <v>12557</v>
      </c>
      <c r="AF8" s="682">
        <v>6799</v>
      </c>
      <c r="AG8" s="234">
        <f t="shared" si="9"/>
        <v>-0.07011498061565989</v>
      </c>
      <c r="AH8" s="121">
        <f>+W8+AB8</f>
        <v>56126</v>
      </c>
      <c r="AI8" s="121">
        <f t="shared" si="10"/>
        <v>60358</v>
      </c>
      <c r="AJ8" s="121">
        <f t="shared" si="11"/>
        <v>51857</v>
      </c>
      <c r="AK8" s="803">
        <f t="shared" si="12"/>
        <v>46513</v>
      </c>
      <c r="AL8" s="119">
        <f t="shared" si="13"/>
        <v>-0.12693483681199463</v>
      </c>
      <c r="AM8" s="38">
        <v>420889</v>
      </c>
      <c r="AN8" s="38">
        <v>482082</v>
      </c>
      <c r="AO8" s="38">
        <v>436144</v>
      </c>
      <c r="AP8" s="917">
        <v>354100</v>
      </c>
      <c r="AQ8" s="934"/>
      <c r="AR8" s="934"/>
      <c r="AS8" s="934"/>
      <c r="AT8" s="934"/>
      <c r="AU8" s="934"/>
      <c r="AV8" s="934"/>
      <c r="AW8" s="934"/>
      <c r="AX8" s="934"/>
      <c r="AY8" s="934"/>
      <c r="AZ8" s="934"/>
      <c r="BA8" s="934"/>
      <c r="BB8" s="934"/>
      <c r="BC8" s="934"/>
      <c r="BD8" s="934"/>
      <c r="BE8" s="934"/>
      <c r="BF8" s="934"/>
      <c r="BG8" s="934"/>
      <c r="BH8" s="934"/>
      <c r="BI8" s="934"/>
      <c r="BJ8" s="934"/>
      <c r="BK8" s="934"/>
      <c r="BL8" s="934"/>
      <c r="BM8" s="934"/>
      <c r="BN8" s="934"/>
      <c r="BO8" s="934"/>
      <c r="BP8" s="934"/>
      <c r="BQ8" s="934"/>
      <c r="BR8" s="934"/>
      <c r="BS8" s="934"/>
      <c r="BT8" s="934"/>
      <c r="BU8" s="934"/>
      <c r="BV8" s="934"/>
      <c r="BW8" s="934"/>
      <c r="BX8" s="934"/>
      <c r="BY8" s="934"/>
      <c r="BZ8" s="934"/>
      <c r="CA8" s="934"/>
      <c r="CB8" s="934"/>
      <c r="CC8" s="934"/>
      <c r="CD8" s="934"/>
      <c r="CE8" s="934"/>
      <c r="CF8" s="934"/>
      <c r="CG8" s="934"/>
      <c r="CH8" s="934"/>
      <c r="CI8" s="934"/>
      <c r="CJ8" s="934"/>
      <c r="CK8" s="934"/>
      <c r="CL8" s="934"/>
      <c r="CM8" s="934"/>
      <c r="CN8" s="934"/>
      <c r="CO8" s="934"/>
      <c r="CP8" s="934"/>
      <c r="CQ8" s="934"/>
      <c r="CR8" s="934"/>
      <c r="CS8" s="934"/>
      <c r="CT8" s="934"/>
      <c r="CU8" s="934"/>
      <c r="CV8" s="934"/>
      <c r="CW8" s="934"/>
      <c r="CX8" s="934"/>
      <c r="CY8" s="934"/>
      <c r="CZ8" s="934"/>
      <c r="DA8" s="934"/>
      <c r="DB8" s="934"/>
      <c r="DC8" s="934"/>
      <c r="DD8" s="934"/>
      <c r="DE8" s="934"/>
      <c r="DF8" s="934"/>
      <c r="DG8" s="934"/>
      <c r="DH8" s="934"/>
      <c r="DI8" s="934"/>
      <c r="DJ8" s="934"/>
      <c r="DK8" s="934"/>
      <c r="DL8" s="934"/>
      <c r="DM8" s="934"/>
      <c r="DN8" s="934"/>
      <c r="DO8" s="934"/>
      <c r="DP8" s="934"/>
      <c r="DQ8" s="934"/>
      <c r="DR8" s="934"/>
      <c r="DS8" s="934"/>
      <c r="DT8" s="934"/>
      <c r="DU8" s="934"/>
      <c r="DV8" s="934"/>
      <c r="DW8" s="934"/>
      <c r="DX8" s="934"/>
      <c r="DY8" s="934"/>
      <c r="DZ8" s="934"/>
      <c r="EA8" s="934"/>
      <c r="EB8" s="934"/>
      <c r="EC8" s="934"/>
      <c r="ED8" s="934"/>
      <c r="EE8" s="934"/>
      <c r="EF8" s="934"/>
      <c r="EG8" s="934"/>
      <c r="EH8" s="934"/>
      <c r="EI8" s="934"/>
      <c r="EJ8" s="934"/>
      <c r="EK8" s="934"/>
      <c r="EL8" s="934"/>
      <c r="EM8" s="934"/>
      <c r="EN8" s="934"/>
      <c r="EO8" s="934"/>
    </row>
    <row r="9" spans="1:145" s="826" customFormat="1" ht="12.75">
      <c r="A9" s="539" t="s">
        <v>18</v>
      </c>
      <c r="B9" s="218">
        <f t="shared" si="0"/>
        <v>-0.02806577028997246</v>
      </c>
      <c r="C9" s="743">
        <v>23999</v>
      </c>
      <c r="D9" s="743">
        <v>24692</v>
      </c>
      <c r="E9" s="743">
        <v>22462</v>
      </c>
      <c r="F9" s="1158">
        <v>14899</v>
      </c>
      <c r="G9" s="1166">
        <f t="shared" si="1"/>
        <v>0.1610464418576743</v>
      </c>
      <c r="H9" s="941">
        <v>9675</v>
      </c>
      <c r="I9" s="941">
        <v>8333</v>
      </c>
      <c r="J9" s="941">
        <v>9171</v>
      </c>
      <c r="K9" s="1167">
        <v>9439</v>
      </c>
      <c r="L9" s="1161">
        <f t="shared" si="2"/>
        <v>-0.3169345354762838</v>
      </c>
      <c r="M9" s="929">
        <v>6970</v>
      </c>
      <c r="N9" s="929">
        <v>10204</v>
      </c>
      <c r="O9" s="929">
        <v>8544</v>
      </c>
      <c r="P9" s="930">
        <v>5566</v>
      </c>
      <c r="Q9" s="907">
        <f t="shared" si="3"/>
        <v>0.39010356731875717</v>
      </c>
      <c r="R9" s="931">
        <v>2416</v>
      </c>
      <c r="S9" s="931">
        <v>1738</v>
      </c>
      <c r="T9" s="931">
        <v>1220</v>
      </c>
      <c r="U9" s="932">
        <v>1640</v>
      </c>
      <c r="V9" s="1149">
        <f t="shared" si="4"/>
        <v>-0.04240887762136678</v>
      </c>
      <c r="W9" s="246">
        <f>+C9+H9+M9+R9</f>
        <v>43060</v>
      </c>
      <c r="X9" s="246">
        <f t="shared" si="5"/>
        <v>44967</v>
      </c>
      <c r="Y9" s="246">
        <f t="shared" si="6"/>
        <v>41397</v>
      </c>
      <c r="Z9" s="893">
        <f t="shared" si="7"/>
        <v>31544</v>
      </c>
      <c r="AA9" s="132">
        <f t="shared" si="8"/>
        <v>-0.0634811927088821</v>
      </c>
      <c r="AB9" s="682">
        <v>17777</v>
      </c>
      <c r="AC9" s="682">
        <v>18982</v>
      </c>
      <c r="AD9" s="682">
        <v>12639</v>
      </c>
      <c r="AE9" s="682">
        <v>10063</v>
      </c>
      <c r="AF9" s="682">
        <v>7746</v>
      </c>
      <c r="AG9" s="234">
        <f t="shared" si="9"/>
        <v>-0.048663778948849865</v>
      </c>
      <c r="AH9" s="121">
        <f>+W9+AB9</f>
        <v>60837</v>
      </c>
      <c r="AI9" s="121">
        <f t="shared" si="10"/>
        <v>63949</v>
      </c>
      <c r="AJ9" s="121">
        <f t="shared" si="11"/>
        <v>54036</v>
      </c>
      <c r="AK9" s="803">
        <f t="shared" si="12"/>
        <v>41607</v>
      </c>
      <c r="AL9" s="119">
        <f t="shared" si="13"/>
        <v>-0.040964714316323605</v>
      </c>
      <c r="AM9" s="123">
        <v>478924</v>
      </c>
      <c r="AN9" s="123">
        <v>499381</v>
      </c>
      <c r="AO9" s="38">
        <v>448865</v>
      </c>
      <c r="AP9" s="795">
        <v>357522</v>
      </c>
      <c r="AQ9" s="934"/>
      <c r="AR9" s="934"/>
      <c r="AS9" s="934"/>
      <c r="AT9" s="934"/>
      <c r="AU9" s="934"/>
      <c r="AV9" s="934"/>
      <c r="AW9" s="934"/>
      <c r="AX9" s="934"/>
      <c r="AY9" s="934"/>
      <c r="AZ9" s="934"/>
      <c r="BA9" s="934"/>
      <c r="BB9" s="934"/>
      <c r="BC9" s="934"/>
      <c r="BD9" s="934"/>
      <c r="BE9" s="934"/>
      <c r="BF9" s="934"/>
      <c r="BG9" s="934"/>
      <c r="BH9" s="934"/>
      <c r="BI9" s="934"/>
      <c r="BJ9" s="934"/>
      <c r="BK9" s="934"/>
      <c r="BL9" s="934"/>
      <c r="BM9" s="934"/>
      <c r="BN9" s="934"/>
      <c r="BO9" s="934"/>
      <c r="BP9" s="934"/>
      <c r="BQ9" s="934"/>
      <c r="BR9" s="934"/>
      <c r="BS9" s="934"/>
      <c r="BT9" s="934"/>
      <c r="BU9" s="934"/>
      <c r="BV9" s="934"/>
      <c r="BW9" s="934"/>
      <c r="BX9" s="934"/>
      <c r="BY9" s="934"/>
      <c r="BZ9" s="934"/>
      <c r="CA9" s="934"/>
      <c r="CB9" s="934"/>
      <c r="CC9" s="934"/>
      <c r="CD9" s="934"/>
      <c r="CE9" s="934"/>
      <c r="CF9" s="934"/>
      <c r="CG9" s="934"/>
      <c r="CH9" s="934"/>
      <c r="CI9" s="934"/>
      <c r="CJ9" s="934"/>
      <c r="CK9" s="934"/>
      <c r="CL9" s="934"/>
      <c r="CM9" s="934"/>
      <c r="CN9" s="934"/>
      <c r="CO9" s="934"/>
      <c r="CP9" s="934"/>
      <c r="CQ9" s="934"/>
      <c r="CR9" s="934"/>
      <c r="CS9" s="934"/>
      <c r="CT9" s="934"/>
      <c r="CU9" s="934"/>
      <c r="CV9" s="934"/>
      <c r="CW9" s="934"/>
      <c r="CX9" s="934"/>
      <c r="CY9" s="934"/>
      <c r="CZ9" s="934"/>
      <c r="DA9" s="934"/>
      <c r="DB9" s="934"/>
      <c r="DC9" s="934"/>
      <c r="DD9" s="934"/>
      <c r="DE9" s="934"/>
      <c r="DF9" s="934"/>
      <c r="DG9" s="934"/>
      <c r="DH9" s="934"/>
      <c r="DI9" s="934"/>
      <c r="DJ9" s="934"/>
      <c r="DK9" s="934"/>
      <c r="DL9" s="934"/>
      <c r="DM9" s="934"/>
      <c r="DN9" s="934"/>
      <c r="DO9" s="934"/>
      <c r="DP9" s="934"/>
      <c r="DQ9" s="934"/>
      <c r="DR9" s="934"/>
      <c r="DS9" s="934"/>
      <c r="DT9" s="934"/>
      <c r="DU9" s="934"/>
      <c r="DV9" s="934"/>
      <c r="DW9" s="934"/>
      <c r="DX9" s="934"/>
      <c r="DY9" s="934"/>
      <c r="DZ9" s="934"/>
      <c r="EA9" s="934"/>
      <c r="EB9" s="934"/>
      <c r="EC9" s="934"/>
      <c r="ED9" s="934"/>
      <c r="EE9" s="934"/>
      <c r="EF9" s="934"/>
      <c r="EG9" s="934"/>
      <c r="EH9" s="934"/>
      <c r="EI9" s="934"/>
      <c r="EJ9" s="934"/>
      <c r="EK9" s="934"/>
      <c r="EL9" s="934"/>
      <c r="EM9" s="934"/>
      <c r="EN9" s="934"/>
      <c r="EO9" s="934"/>
    </row>
    <row r="10" spans="1:145" s="826" customFormat="1" ht="12.75">
      <c r="A10" s="539" t="s">
        <v>19</v>
      </c>
      <c r="B10" s="218">
        <f t="shared" si="0"/>
        <v>0.032749648963409594</v>
      </c>
      <c r="C10" s="743">
        <v>25007</v>
      </c>
      <c r="D10" s="743">
        <v>24214</v>
      </c>
      <c r="E10" s="743">
        <v>21889</v>
      </c>
      <c r="F10" s="1158">
        <v>17049</v>
      </c>
      <c r="G10" s="1166">
        <f t="shared" si="1"/>
        <v>0.1787479406919275</v>
      </c>
      <c r="H10" s="941">
        <v>10017</v>
      </c>
      <c r="I10" s="941">
        <v>8498</v>
      </c>
      <c r="J10" s="941">
        <v>8488</v>
      </c>
      <c r="K10" s="1167">
        <v>9128</v>
      </c>
      <c r="L10" s="1161">
        <f t="shared" si="2"/>
        <v>-0.1603946764570904</v>
      </c>
      <c r="M10" s="929">
        <v>7318</v>
      </c>
      <c r="N10" s="929">
        <v>8716</v>
      </c>
      <c r="O10" s="929">
        <v>11503</v>
      </c>
      <c r="P10" s="930">
        <v>4688</v>
      </c>
      <c r="Q10" s="907">
        <f t="shared" si="3"/>
        <v>2.1197916666666665</v>
      </c>
      <c r="R10" s="931">
        <v>2396</v>
      </c>
      <c r="S10" s="931">
        <v>768</v>
      </c>
      <c r="T10" s="931">
        <v>1146</v>
      </c>
      <c r="U10" s="932">
        <v>956</v>
      </c>
      <c r="V10" s="1149">
        <f t="shared" si="4"/>
        <v>0.0602426770309982</v>
      </c>
      <c r="W10" s="246">
        <f>+C10+H10+M10+R10</f>
        <v>44738</v>
      </c>
      <c r="X10" s="246">
        <f t="shared" si="5"/>
        <v>42196</v>
      </c>
      <c r="Y10" s="246">
        <f t="shared" si="6"/>
        <v>43026</v>
      </c>
      <c r="Z10" s="893">
        <f t="shared" si="7"/>
        <v>31821</v>
      </c>
      <c r="AA10" s="132">
        <f t="shared" si="8"/>
        <v>0.12667261373773417</v>
      </c>
      <c r="AB10" s="682">
        <v>17682</v>
      </c>
      <c r="AC10" s="682">
        <v>15694</v>
      </c>
      <c r="AD10" s="682">
        <v>12561</v>
      </c>
      <c r="AE10" s="682">
        <v>9611</v>
      </c>
      <c r="AF10" s="682">
        <v>6472</v>
      </c>
      <c r="AG10" s="234">
        <f t="shared" si="9"/>
        <v>0.07825185697011573</v>
      </c>
      <c r="AH10" s="121">
        <f>+W10+AB10</f>
        <v>62420</v>
      </c>
      <c r="AI10" s="121">
        <f t="shared" si="10"/>
        <v>57890</v>
      </c>
      <c r="AJ10" s="121">
        <f t="shared" si="11"/>
        <v>55587</v>
      </c>
      <c r="AK10" s="803">
        <f t="shared" si="12"/>
        <v>41432</v>
      </c>
      <c r="AL10" s="119">
        <f t="shared" si="13"/>
        <v>-0.007085653160897007</v>
      </c>
      <c r="AM10" s="123">
        <v>493819</v>
      </c>
      <c r="AN10" s="123">
        <v>497343</v>
      </c>
      <c r="AO10" s="123">
        <v>460672</v>
      </c>
      <c r="AP10" s="795">
        <v>345554</v>
      </c>
      <c r="AQ10" s="934"/>
      <c r="AR10" s="934"/>
      <c r="AS10" s="934"/>
      <c r="AT10" s="934"/>
      <c r="AU10" s="934"/>
      <c r="AV10" s="934"/>
      <c r="AW10" s="934"/>
      <c r="AX10" s="934"/>
      <c r="AY10" s="934"/>
      <c r="AZ10" s="934"/>
      <c r="BA10" s="934"/>
      <c r="BB10" s="934"/>
      <c r="BC10" s="934"/>
      <c r="BD10" s="934"/>
      <c r="BE10" s="934"/>
      <c r="BF10" s="934"/>
      <c r="BG10" s="934"/>
      <c r="BH10" s="934"/>
      <c r="BI10" s="934"/>
      <c r="BJ10" s="934"/>
      <c r="BK10" s="934"/>
      <c r="BL10" s="934"/>
      <c r="BM10" s="934"/>
      <c r="BN10" s="934"/>
      <c r="BO10" s="934"/>
      <c r="BP10" s="934"/>
      <c r="BQ10" s="934"/>
      <c r="BR10" s="934"/>
      <c r="BS10" s="934"/>
      <c r="BT10" s="934"/>
      <c r="BU10" s="934"/>
      <c r="BV10" s="934"/>
      <c r="BW10" s="934"/>
      <c r="BX10" s="934"/>
      <c r="BY10" s="934"/>
      <c r="BZ10" s="934"/>
      <c r="CA10" s="934"/>
      <c r="CB10" s="934"/>
      <c r="CC10" s="934"/>
      <c r="CD10" s="934"/>
      <c r="CE10" s="934"/>
      <c r="CF10" s="934"/>
      <c r="CG10" s="934"/>
      <c r="CH10" s="934"/>
      <c r="CI10" s="934"/>
      <c r="CJ10" s="934"/>
      <c r="CK10" s="934"/>
      <c r="CL10" s="934"/>
      <c r="CM10" s="934"/>
      <c r="CN10" s="934"/>
      <c r="CO10" s="934"/>
      <c r="CP10" s="934"/>
      <c r="CQ10" s="934"/>
      <c r="CR10" s="934"/>
      <c r="CS10" s="934"/>
      <c r="CT10" s="934"/>
      <c r="CU10" s="934"/>
      <c r="CV10" s="934"/>
      <c r="CW10" s="934"/>
      <c r="CX10" s="934"/>
      <c r="CY10" s="934"/>
      <c r="CZ10" s="934"/>
      <c r="DA10" s="934"/>
      <c r="DB10" s="934"/>
      <c r="DC10" s="934"/>
      <c r="DD10" s="934"/>
      <c r="DE10" s="934"/>
      <c r="DF10" s="934"/>
      <c r="DG10" s="934"/>
      <c r="DH10" s="934"/>
      <c r="DI10" s="934"/>
      <c r="DJ10" s="934"/>
      <c r="DK10" s="934"/>
      <c r="DL10" s="934"/>
      <c r="DM10" s="934"/>
      <c r="DN10" s="934"/>
      <c r="DO10" s="934"/>
      <c r="DP10" s="934"/>
      <c r="DQ10" s="934"/>
      <c r="DR10" s="934"/>
      <c r="DS10" s="934"/>
      <c r="DT10" s="934"/>
      <c r="DU10" s="934"/>
      <c r="DV10" s="934"/>
      <c r="DW10" s="934"/>
      <c r="DX10" s="934"/>
      <c r="DY10" s="934"/>
      <c r="DZ10" s="934"/>
      <c r="EA10" s="934"/>
      <c r="EB10" s="934"/>
      <c r="EC10" s="934"/>
      <c r="ED10" s="934"/>
      <c r="EE10" s="934"/>
      <c r="EF10" s="934"/>
      <c r="EG10" s="934"/>
      <c r="EH10" s="934"/>
      <c r="EI10" s="934"/>
      <c r="EJ10" s="934"/>
      <c r="EK10" s="934"/>
      <c r="EL10" s="934"/>
      <c r="EM10" s="934"/>
      <c r="EN10" s="934"/>
      <c r="EO10" s="934"/>
    </row>
    <row r="11" spans="1:145" s="826" customFormat="1" ht="12.75">
      <c r="A11" s="539" t="s">
        <v>20</v>
      </c>
      <c r="B11" s="218"/>
      <c r="C11" s="743"/>
      <c r="D11" s="743">
        <v>27647</v>
      </c>
      <c r="E11" s="743">
        <v>23695</v>
      </c>
      <c r="F11" s="1158">
        <v>18744</v>
      </c>
      <c r="G11" s="1166"/>
      <c r="H11" s="941"/>
      <c r="I11" s="941">
        <v>9809</v>
      </c>
      <c r="J11" s="941">
        <v>9648</v>
      </c>
      <c r="K11" s="1167">
        <v>11054</v>
      </c>
      <c r="L11" s="1161"/>
      <c r="M11" s="929"/>
      <c r="N11" s="929">
        <v>11388</v>
      </c>
      <c r="O11" s="929">
        <v>8626</v>
      </c>
      <c r="P11" s="930">
        <v>5836</v>
      </c>
      <c r="Q11" s="907"/>
      <c r="R11" s="931"/>
      <c r="S11" s="931">
        <v>1862</v>
      </c>
      <c r="T11" s="931">
        <v>1320</v>
      </c>
      <c r="U11" s="932">
        <v>1274</v>
      </c>
      <c r="V11" s="1149"/>
      <c r="W11" s="246"/>
      <c r="X11" s="246">
        <f t="shared" si="5"/>
        <v>50706</v>
      </c>
      <c r="Y11" s="246">
        <f t="shared" si="6"/>
        <v>43289</v>
      </c>
      <c r="Z11" s="893">
        <f t="shared" si="7"/>
        <v>36908</v>
      </c>
      <c r="AA11" s="132"/>
      <c r="AB11" s="682"/>
      <c r="AC11" s="682">
        <v>15053</v>
      </c>
      <c r="AD11" s="682">
        <v>14607</v>
      </c>
      <c r="AE11" s="682">
        <v>11107</v>
      </c>
      <c r="AF11" s="682">
        <v>10618</v>
      </c>
      <c r="AG11" s="234"/>
      <c r="AH11" s="121"/>
      <c r="AI11" s="121">
        <f t="shared" si="10"/>
        <v>65759</v>
      </c>
      <c r="AJ11" s="121">
        <f t="shared" si="11"/>
        <v>57896</v>
      </c>
      <c r="AK11" s="803">
        <f t="shared" si="12"/>
        <v>48015</v>
      </c>
      <c r="AL11" s="119"/>
      <c r="AM11" s="123"/>
      <c r="AN11" s="123">
        <v>572284</v>
      </c>
      <c r="AO11" s="38">
        <v>469402</v>
      </c>
      <c r="AP11" s="795">
        <v>383603</v>
      </c>
      <c r="AQ11" s="934"/>
      <c r="AR11" s="934"/>
      <c r="AS11" s="934"/>
      <c r="AT11" s="934"/>
      <c r="AU11" s="934"/>
      <c r="AV11" s="934"/>
      <c r="AW11" s="934"/>
      <c r="AX11" s="934"/>
      <c r="AY11" s="934"/>
      <c r="AZ11" s="934"/>
      <c r="BA11" s="934"/>
      <c r="BB11" s="934"/>
      <c r="BC11" s="934"/>
      <c r="BD11" s="934"/>
      <c r="BE11" s="934"/>
      <c r="BF11" s="934"/>
      <c r="BG11" s="934"/>
      <c r="BH11" s="934"/>
      <c r="BI11" s="934"/>
      <c r="BJ11" s="934"/>
      <c r="BK11" s="934"/>
      <c r="BL11" s="934"/>
      <c r="BM11" s="934"/>
      <c r="BN11" s="934"/>
      <c r="BO11" s="934"/>
      <c r="BP11" s="934"/>
      <c r="BQ11" s="934"/>
      <c r="BR11" s="934"/>
      <c r="BS11" s="934"/>
      <c r="BT11" s="934"/>
      <c r="BU11" s="934"/>
      <c r="BV11" s="934"/>
      <c r="BW11" s="934"/>
      <c r="BX11" s="934"/>
      <c r="BY11" s="934"/>
      <c r="BZ11" s="934"/>
      <c r="CA11" s="934"/>
      <c r="CB11" s="934"/>
      <c r="CC11" s="934"/>
      <c r="CD11" s="934"/>
      <c r="CE11" s="934"/>
      <c r="CF11" s="934"/>
      <c r="CG11" s="934"/>
      <c r="CH11" s="934"/>
      <c r="CI11" s="934"/>
      <c r="CJ11" s="934"/>
      <c r="CK11" s="934"/>
      <c r="CL11" s="934"/>
      <c r="CM11" s="934"/>
      <c r="CN11" s="934"/>
      <c r="CO11" s="934"/>
      <c r="CP11" s="934"/>
      <c r="CQ11" s="934"/>
      <c r="CR11" s="934"/>
      <c r="CS11" s="934"/>
      <c r="CT11" s="934"/>
      <c r="CU11" s="934"/>
      <c r="CV11" s="934"/>
      <c r="CW11" s="934"/>
      <c r="CX11" s="934"/>
      <c r="CY11" s="934"/>
      <c r="CZ11" s="934"/>
      <c r="DA11" s="934"/>
      <c r="DB11" s="934"/>
      <c r="DC11" s="934"/>
      <c r="DD11" s="934"/>
      <c r="DE11" s="934"/>
      <c r="DF11" s="934"/>
      <c r="DG11" s="934"/>
      <c r="DH11" s="934"/>
      <c r="DI11" s="934"/>
      <c r="DJ11" s="934"/>
      <c r="DK11" s="934"/>
      <c r="DL11" s="934"/>
      <c r="DM11" s="934"/>
      <c r="DN11" s="934"/>
      <c r="DO11" s="934"/>
      <c r="DP11" s="934"/>
      <c r="DQ11" s="934"/>
      <c r="DR11" s="934"/>
      <c r="DS11" s="934"/>
      <c r="DT11" s="934"/>
      <c r="DU11" s="934"/>
      <c r="DV11" s="934"/>
      <c r="DW11" s="934"/>
      <c r="DX11" s="934"/>
      <c r="DY11" s="934"/>
      <c r="DZ11" s="934"/>
      <c r="EA11" s="934"/>
      <c r="EB11" s="934"/>
      <c r="EC11" s="934"/>
      <c r="ED11" s="934"/>
      <c r="EE11" s="934"/>
      <c r="EF11" s="934"/>
      <c r="EG11" s="934"/>
      <c r="EH11" s="934"/>
      <c r="EI11" s="934"/>
      <c r="EJ11" s="934"/>
      <c r="EK11" s="934"/>
      <c r="EL11" s="934"/>
      <c r="EM11" s="934"/>
      <c r="EN11" s="934"/>
      <c r="EO11" s="934"/>
    </row>
    <row r="12" spans="1:145" s="826" customFormat="1" ht="12.75">
      <c r="A12" s="539" t="s">
        <v>21</v>
      </c>
      <c r="B12" s="218"/>
      <c r="C12" s="743"/>
      <c r="D12" s="743">
        <v>27018</v>
      </c>
      <c r="E12" s="743">
        <v>20794</v>
      </c>
      <c r="F12" s="1158">
        <v>16338</v>
      </c>
      <c r="G12" s="1166"/>
      <c r="H12" s="941"/>
      <c r="I12" s="941">
        <v>9965</v>
      </c>
      <c r="J12" s="941">
        <v>9869</v>
      </c>
      <c r="K12" s="1167">
        <v>9442</v>
      </c>
      <c r="L12" s="1161"/>
      <c r="M12" s="929"/>
      <c r="N12" s="929">
        <v>9358</v>
      </c>
      <c r="O12" s="929">
        <v>9815</v>
      </c>
      <c r="P12" s="930">
        <v>4534</v>
      </c>
      <c r="Q12" s="907"/>
      <c r="R12" s="931"/>
      <c r="S12" s="931">
        <v>0</v>
      </c>
      <c r="T12" s="931">
        <v>918</v>
      </c>
      <c r="U12" s="932">
        <v>828</v>
      </c>
      <c r="V12" s="1149"/>
      <c r="W12" s="246"/>
      <c r="X12" s="246">
        <f t="shared" si="5"/>
        <v>46341</v>
      </c>
      <c r="Y12" s="246">
        <f t="shared" si="6"/>
        <v>41396</v>
      </c>
      <c r="Z12" s="893">
        <f t="shared" si="7"/>
        <v>31142</v>
      </c>
      <c r="AA12" s="132"/>
      <c r="AB12" s="682"/>
      <c r="AC12" s="682">
        <v>17067</v>
      </c>
      <c r="AD12" s="682">
        <v>12174</v>
      </c>
      <c r="AE12" s="682">
        <v>10569</v>
      </c>
      <c r="AF12" s="682">
        <v>8424</v>
      </c>
      <c r="AG12" s="234"/>
      <c r="AH12" s="121"/>
      <c r="AI12" s="121">
        <f t="shared" si="10"/>
        <v>63408</v>
      </c>
      <c r="AJ12" s="121">
        <f t="shared" si="11"/>
        <v>53570</v>
      </c>
      <c r="AK12" s="803">
        <f t="shared" si="12"/>
        <v>41711</v>
      </c>
      <c r="AL12" s="119"/>
      <c r="AM12" s="933"/>
      <c r="AN12" s="933">
        <v>556000</v>
      </c>
      <c r="AO12" s="123">
        <v>462647</v>
      </c>
      <c r="AP12" s="795">
        <v>336010</v>
      </c>
      <c r="AQ12" s="934"/>
      <c r="AR12" s="934"/>
      <c r="AS12" s="934"/>
      <c r="AT12" s="934"/>
      <c r="AU12" s="934"/>
      <c r="AV12" s="934"/>
      <c r="AW12" s="934"/>
      <c r="AX12" s="934"/>
      <c r="AY12" s="934"/>
      <c r="AZ12" s="934"/>
      <c r="BA12" s="934"/>
      <c r="BB12" s="934"/>
      <c r="BC12" s="934"/>
      <c r="BD12" s="934"/>
      <c r="BE12" s="934"/>
      <c r="BF12" s="934"/>
      <c r="BG12" s="934"/>
      <c r="BH12" s="934"/>
      <c r="BI12" s="934"/>
      <c r="BJ12" s="934"/>
      <c r="BK12" s="934"/>
      <c r="BL12" s="934"/>
      <c r="BM12" s="934"/>
      <c r="BN12" s="934"/>
      <c r="BO12" s="934"/>
      <c r="BP12" s="934"/>
      <c r="BQ12" s="934"/>
      <c r="BR12" s="934"/>
      <c r="BS12" s="934"/>
      <c r="BT12" s="934"/>
      <c r="BU12" s="934"/>
      <c r="BV12" s="934"/>
      <c r="BW12" s="934"/>
      <c r="BX12" s="934"/>
      <c r="BY12" s="934"/>
      <c r="BZ12" s="934"/>
      <c r="CA12" s="934"/>
      <c r="CB12" s="934"/>
      <c r="CC12" s="934"/>
      <c r="CD12" s="934"/>
      <c r="CE12" s="934"/>
      <c r="CF12" s="934"/>
      <c r="CG12" s="934"/>
      <c r="CH12" s="934"/>
      <c r="CI12" s="934"/>
      <c r="CJ12" s="934"/>
      <c r="CK12" s="934"/>
      <c r="CL12" s="934"/>
      <c r="CM12" s="934"/>
      <c r="CN12" s="934"/>
      <c r="CO12" s="934"/>
      <c r="CP12" s="934"/>
      <c r="CQ12" s="934"/>
      <c r="CR12" s="934"/>
      <c r="CS12" s="934"/>
      <c r="CT12" s="934"/>
      <c r="CU12" s="934"/>
      <c r="CV12" s="934"/>
      <c r="CW12" s="934"/>
      <c r="CX12" s="934"/>
      <c r="CY12" s="934"/>
      <c r="CZ12" s="934"/>
      <c r="DA12" s="934"/>
      <c r="DB12" s="934"/>
      <c r="DC12" s="934"/>
      <c r="DD12" s="934"/>
      <c r="DE12" s="934"/>
      <c r="DF12" s="934"/>
      <c r="DG12" s="934"/>
      <c r="DH12" s="934"/>
      <c r="DI12" s="934"/>
      <c r="DJ12" s="934"/>
      <c r="DK12" s="934"/>
      <c r="DL12" s="934"/>
      <c r="DM12" s="934"/>
      <c r="DN12" s="934"/>
      <c r="DO12" s="934"/>
      <c r="DP12" s="934"/>
      <c r="DQ12" s="934"/>
      <c r="DR12" s="934"/>
      <c r="DS12" s="934"/>
      <c r="DT12" s="934"/>
      <c r="DU12" s="934"/>
      <c r="DV12" s="934"/>
      <c r="DW12" s="934"/>
      <c r="DX12" s="934"/>
      <c r="DY12" s="934"/>
      <c r="DZ12" s="934"/>
      <c r="EA12" s="934"/>
      <c r="EB12" s="934"/>
      <c r="EC12" s="934"/>
      <c r="ED12" s="934"/>
      <c r="EE12" s="934"/>
      <c r="EF12" s="934"/>
      <c r="EG12" s="934"/>
      <c r="EH12" s="934"/>
      <c r="EI12" s="934"/>
      <c r="EJ12" s="934"/>
      <c r="EK12" s="934"/>
      <c r="EL12" s="934"/>
      <c r="EM12" s="934"/>
      <c r="EN12" s="934"/>
      <c r="EO12" s="934"/>
    </row>
    <row r="13" spans="1:145" s="826" customFormat="1" ht="12.75">
      <c r="A13" s="539" t="s">
        <v>22</v>
      </c>
      <c r="B13" s="218"/>
      <c r="C13" s="743"/>
      <c r="D13" s="743">
        <v>24735</v>
      </c>
      <c r="E13" s="743">
        <v>24075</v>
      </c>
      <c r="F13" s="1158">
        <v>17920</v>
      </c>
      <c r="G13" s="1166"/>
      <c r="H13" s="941"/>
      <c r="I13" s="941">
        <v>8427</v>
      </c>
      <c r="J13" s="941">
        <v>10822</v>
      </c>
      <c r="K13" s="1167">
        <v>8989</v>
      </c>
      <c r="L13" s="1161"/>
      <c r="M13" s="929"/>
      <c r="N13" s="929">
        <v>5268</v>
      </c>
      <c r="O13" s="929">
        <v>7618</v>
      </c>
      <c r="P13" s="930">
        <v>4078</v>
      </c>
      <c r="Q13" s="907"/>
      <c r="R13" s="931"/>
      <c r="S13" s="931">
        <v>1676</v>
      </c>
      <c r="T13" s="931">
        <v>1076</v>
      </c>
      <c r="U13" s="932">
        <v>1012</v>
      </c>
      <c r="V13" s="1149"/>
      <c r="W13" s="246"/>
      <c r="X13" s="246">
        <f t="shared" si="5"/>
        <v>40106</v>
      </c>
      <c r="Y13" s="246">
        <f t="shared" si="6"/>
        <v>43591</v>
      </c>
      <c r="Z13" s="893">
        <f t="shared" si="7"/>
        <v>31999</v>
      </c>
      <c r="AA13" s="132"/>
      <c r="AB13" s="682"/>
      <c r="AC13" s="682">
        <v>20917</v>
      </c>
      <c r="AD13" s="682">
        <v>18578</v>
      </c>
      <c r="AE13" s="682">
        <v>11017</v>
      </c>
      <c r="AF13" s="682">
        <v>6871</v>
      </c>
      <c r="AG13" s="234"/>
      <c r="AH13" s="121"/>
      <c r="AI13" s="121">
        <f t="shared" si="10"/>
        <v>61023</v>
      </c>
      <c r="AJ13" s="121">
        <f t="shared" si="11"/>
        <v>62169</v>
      </c>
      <c r="AK13" s="803">
        <f t="shared" si="12"/>
        <v>43016</v>
      </c>
      <c r="AL13" s="119"/>
      <c r="AM13" s="933"/>
      <c r="AN13" s="933">
        <v>425483</v>
      </c>
      <c r="AO13" s="38">
        <v>491628</v>
      </c>
      <c r="AP13" s="795">
        <v>350443</v>
      </c>
      <c r="AQ13" s="934"/>
      <c r="AR13" s="934"/>
      <c r="AS13" s="934"/>
      <c r="AT13" s="934"/>
      <c r="AU13" s="934"/>
      <c r="AV13" s="934"/>
      <c r="AW13" s="934"/>
      <c r="AX13" s="934"/>
      <c r="AY13" s="934"/>
      <c r="AZ13" s="934"/>
      <c r="BA13" s="934"/>
      <c r="BB13" s="934"/>
      <c r="BC13" s="934"/>
      <c r="BD13" s="934"/>
      <c r="BE13" s="934"/>
      <c r="BF13" s="934"/>
      <c r="BG13" s="934"/>
      <c r="BH13" s="934"/>
      <c r="BI13" s="934"/>
      <c r="BJ13" s="934"/>
      <c r="BK13" s="934"/>
      <c r="BL13" s="934"/>
      <c r="BM13" s="934"/>
      <c r="BN13" s="934"/>
      <c r="BO13" s="934"/>
      <c r="BP13" s="934"/>
      <c r="BQ13" s="934"/>
      <c r="BR13" s="934"/>
      <c r="BS13" s="934"/>
      <c r="BT13" s="934"/>
      <c r="BU13" s="934"/>
      <c r="BV13" s="934"/>
      <c r="BW13" s="934"/>
      <c r="BX13" s="934"/>
      <c r="BY13" s="934"/>
      <c r="BZ13" s="934"/>
      <c r="CA13" s="934"/>
      <c r="CB13" s="934"/>
      <c r="CC13" s="934"/>
      <c r="CD13" s="934"/>
      <c r="CE13" s="934"/>
      <c r="CF13" s="934"/>
      <c r="CG13" s="934"/>
      <c r="CH13" s="934"/>
      <c r="CI13" s="934"/>
      <c r="CJ13" s="934"/>
      <c r="CK13" s="934"/>
      <c r="CL13" s="934"/>
      <c r="CM13" s="934"/>
      <c r="CN13" s="934"/>
      <c r="CO13" s="934"/>
      <c r="CP13" s="934"/>
      <c r="CQ13" s="934"/>
      <c r="CR13" s="934"/>
      <c r="CS13" s="934"/>
      <c r="CT13" s="934"/>
      <c r="CU13" s="934"/>
      <c r="CV13" s="934"/>
      <c r="CW13" s="934"/>
      <c r="CX13" s="934"/>
      <c r="CY13" s="934"/>
      <c r="CZ13" s="934"/>
      <c r="DA13" s="934"/>
      <c r="DB13" s="934"/>
      <c r="DC13" s="934"/>
      <c r="DD13" s="934"/>
      <c r="DE13" s="934"/>
      <c r="DF13" s="934"/>
      <c r="DG13" s="934"/>
      <c r="DH13" s="934"/>
      <c r="DI13" s="934"/>
      <c r="DJ13" s="934"/>
      <c r="DK13" s="934"/>
      <c r="DL13" s="934"/>
      <c r="DM13" s="934"/>
      <c r="DN13" s="934"/>
      <c r="DO13" s="934"/>
      <c r="DP13" s="934"/>
      <c r="DQ13" s="934"/>
      <c r="DR13" s="934"/>
      <c r="DS13" s="934"/>
      <c r="DT13" s="934"/>
      <c r="DU13" s="934"/>
      <c r="DV13" s="934"/>
      <c r="DW13" s="934"/>
      <c r="DX13" s="934"/>
      <c r="DY13" s="934"/>
      <c r="DZ13" s="934"/>
      <c r="EA13" s="934"/>
      <c r="EB13" s="934"/>
      <c r="EC13" s="934"/>
      <c r="ED13" s="934"/>
      <c r="EE13" s="934"/>
      <c r="EF13" s="934"/>
      <c r="EG13" s="934"/>
      <c r="EH13" s="934"/>
      <c r="EI13" s="934"/>
      <c r="EJ13" s="934"/>
      <c r="EK13" s="934"/>
      <c r="EL13" s="934"/>
      <c r="EM13" s="934"/>
      <c r="EN13" s="934"/>
      <c r="EO13" s="934"/>
    </row>
    <row r="14" spans="1:145" s="826" customFormat="1" ht="13.5" thickBot="1">
      <c r="A14" s="988" t="s">
        <v>23</v>
      </c>
      <c r="B14" s="218"/>
      <c r="C14" s="265"/>
      <c r="D14" s="265">
        <v>26464</v>
      </c>
      <c r="E14" s="743">
        <v>19277</v>
      </c>
      <c r="F14" s="1158">
        <v>16995</v>
      </c>
      <c r="G14" s="1166"/>
      <c r="H14" s="941"/>
      <c r="I14" s="941">
        <v>8735</v>
      </c>
      <c r="J14" s="941">
        <v>9004</v>
      </c>
      <c r="K14" s="1167">
        <v>9011</v>
      </c>
      <c r="L14" s="1161"/>
      <c r="M14" s="929"/>
      <c r="N14" s="929">
        <v>6547</v>
      </c>
      <c r="O14" s="929">
        <v>7466</v>
      </c>
      <c r="P14" s="930">
        <v>5707</v>
      </c>
      <c r="Q14" s="907"/>
      <c r="R14" s="931"/>
      <c r="S14" s="931">
        <v>1522</v>
      </c>
      <c r="T14" s="931">
        <v>1064</v>
      </c>
      <c r="U14" s="932">
        <v>1360</v>
      </c>
      <c r="V14" s="1149"/>
      <c r="W14" s="246"/>
      <c r="X14" s="246">
        <f t="shared" si="5"/>
        <v>43268</v>
      </c>
      <c r="Y14" s="246">
        <f t="shared" si="6"/>
        <v>36811</v>
      </c>
      <c r="Z14" s="893">
        <f t="shared" si="7"/>
        <v>33073</v>
      </c>
      <c r="AA14" s="132"/>
      <c r="AB14" s="682"/>
      <c r="AC14" s="682">
        <v>19566</v>
      </c>
      <c r="AD14" s="682">
        <v>13748</v>
      </c>
      <c r="AE14" s="682">
        <v>12066</v>
      </c>
      <c r="AF14" s="682">
        <v>9336</v>
      </c>
      <c r="AG14" s="234"/>
      <c r="AH14" s="121"/>
      <c r="AI14" s="121">
        <f t="shared" si="10"/>
        <v>62834</v>
      </c>
      <c r="AJ14" s="121">
        <f t="shared" si="11"/>
        <v>50559</v>
      </c>
      <c r="AK14" s="803">
        <f t="shared" si="12"/>
        <v>45139</v>
      </c>
      <c r="AL14" s="119"/>
      <c r="AM14" s="933"/>
      <c r="AN14" s="933">
        <v>474547</v>
      </c>
      <c r="AO14" s="38">
        <v>426020</v>
      </c>
      <c r="AP14" s="795">
        <v>372965</v>
      </c>
      <c r="AQ14" s="934"/>
      <c r="AR14" s="934"/>
      <c r="AS14" s="934"/>
      <c r="AT14" s="934"/>
      <c r="AU14" s="934"/>
      <c r="AV14" s="934"/>
      <c r="AW14" s="934"/>
      <c r="AX14" s="934"/>
      <c r="AY14" s="934"/>
      <c r="AZ14" s="934"/>
      <c r="BA14" s="934"/>
      <c r="BB14" s="934"/>
      <c r="BC14" s="934"/>
      <c r="BD14" s="934"/>
      <c r="BE14" s="934"/>
      <c r="BF14" s="934"/>
      <c r="BG14" s="934"/>
      <c r="BH14" s="934"/>
      <c r="BI14" s="934"/>
      <c r="BJ14" s="934"/>
      <c r="BK14" s="934"/>
      <c r="BL14" s="934"/>
      <c r="BM14" s="934"/>
      <c r="BN14" s="934"/>
      <c r="BO14" s="934"/>
      <c r="BP14" s="934"/>
      <c r="BQ14" s="934"/>
      <c r="BR14" s="934"/>
      <c r="BS14" s="934"/>
      <c r="BT14" s="934"/>
      <c r="BU14" s="934"/>
      <c r="BV14" s="934"/>
      <c r="BW14" s="934"/>
      <c r="BX14" s="934"/>
      <c r="BY14" s="934"/>
      <c r="BZ14" s="934"/>
      <c r="CA14" s="934"/>
      <c r="CB14" s="934"/>
      <c r="CC14" s="934"/>
      <c r="CD14" s="934"/>
      <c r="CE14" s="934"/>
      <c r="CF14" s="934"/>
      <c r="CG14" s="934"/>
      <c r="CH14" s="934"/>
      <c r="CI14" s="934"/>
      <c r="CJ14" s="934"/>
      <c r="CK14" s="934"/>
      <c r="CL14" s="934"/>
      <c r="CM14" s="934"/>
      <c r="CN14" s="934"/>
      <c r="CO14" s="934"/>
      <c r="CP14" s="934"/>
      <c r="CQ14" s="934"/>
      <c r="CR14" s="934"/>
      <c r="CS14" s="934"/>
      <c r="CT14" s="934"/>
      <c r="CU14" s="934"/>
      <c r="CV14" s="934"/>
      <c r="CW14" s="934"/>
      <c r="CX14" s="934"/>
      <c r="CY14" s="934"/>
      <c r="CZ14" s="934"/>
      <c r="DA14" s="934"/>
      <c r="DB14" s="934"/>
      <c r="DC14" s="934"/>
      <c r="DD14" s="934"/>
      <c r="DE14" s="934"/>
      <c r="DF14" s="934"/>
      <c r="DG14" s="934"/>
      <c r="DH14" s="934"/>
      <c r="DI14" s="934"/>
      <c r="DJ14" s="934"/>
      <c r="DK14" s="934"/>
      <c r="DL14" s="934"/>
      <c r="DM14" s="934"/>
      <c r="DN14" s="934"/>
      <c r="DO14" s="934"/>
      <c r="DP14" s="934"/>
      <c r="DQ14" s="934"/>
      <c r="DR14" s="934"/>
      <c r="DS14" s="934"/>
      <c r="DT14" s="934"/>
      <c r="DU14" s="934"/>
      <c r="DV14" s="934"/>
      <c r="DW14" s="934"/>
      <c r="DX14" s="934"/>
      <c r="DY14" s="934"/>
      <c r="DZ14" s="934"/>
      <c r="EA14" s="934"/>
      <c r="EB14" s="934"/>
      <c r="EC14" s="934"/>
      <c r="ED14" s="934"/>
      <c r="EE14" s="934"/>
      <c r="EF14" s="934"/>
      <c r="EG14" s="934"/>
      <c r="EH14" s="934"/>
      <c r="EI14" s="934"/>
      <c r="EJ14" s="934"/>
      <c r="EK14" s="934"/>
      <c r="EL14" s="934"/>
      <c r="EM14" s="934"/>
      <c r="EN14" s="934"/>
      <c r="EO14" s="934"/>
    </row>
    <row r="15" spans="1:145" s="826" customFormat="1" ht="13.5" thickBot="1">
      <c r="A15" s="696" t="s">
        <v>24</v>
      </c>
      <c r="B15" s="560"/>
      <c r="C15" s="1155"/>
      <c r="D15" s="1155">
        <v>22589</v>
      </c>
      <c r="E15" s="1156">
        <v>19024</v>
      </c>
      <c r="F15" s="1159">
        <v>16845</v>
      </c>
      <c r="G15" s="1169"/>
      <c r="H15" s="1170"/>
      <c r="I15" s="1170">
        <v>8935</v>
      </c>
      <c r="J15" s="1171">
        <v>8262</v>
      </c>
      <c r="K15" s="1172">
        <v>10515</v>
      </c>
      <c r="L15" s="1162"/>
      <c r="M15" s="1151"/>
      <c r="N15" s="1151">
        <v>9584</v>
      </c>
      <c r="O15" s="1151">
        <v>7672</v>
      </c>
      <c r="P15" s="1152">
        <v>6549</v>
      </c>
      <c r="Q15" s="999"/>
      <c r="R15" s="1153"/>
      <c r="S15" s="1153">
        <v>1416</v>
      </c>
      <c r="T15" s="1153">
        <v>1486</v>
      </c>
      <c r="U15" s="1154">
        <v>1206</v>
      </c>
      <c r="V15" s="1150"/>
      <c r="W15" s="520"/>
      <c r="X15" s="520">
        <f t="shared" si="5"/>
        <v>42524</v>
      </c>
      <c r="Y15" s="520">
        <f t="shared" si="6"/>
        <v>36444</v>
      </c>
      <c r="Z15" s="894">
        <f t="shared" si="7"/>
        <v>35115</v>
      </c>
      <c r="AA15" s="516"/>
      <c r="AB15" s="728"/>
      <c r="AC15" s="728">
        <v>19566</v>
      </c>
      <c r="AD15" s="728">
        <v>16843</v>
      </c>
      <c r="AE15" s="728">
        <v>11599</v>
      </c>
      <c r="AF15" s="133"/>
      <c r="AG15" s="1147"/>
      <c r="AH15" s="124"/>
      <c r="AI15" s="124">
        <f t="shared" si="10"/>
        <v>62090</v>
      </c>
      <c r="AJ15" s="124">
        <f t="shared" si="11"/>
        <v>53287</v>
      </c>
      <c r="AK15" s="676">
        <f t="shared" si="12"/>
        <v>46714</v>
      </c>
      <c r="AL15" s="495"/>
      <c r="AM15" s="882"/>
      <c r="AN15" s="882">
        <v>440872</v>
      </c>
      <c r="AO15" s="561">
        <v>432158</v>
      </c>
      <c r="AP15" s="797">
        <v>361970</v>
      </c>
      <c r="AQ15" s="934"/>
      <c r="AR15" s="934"/>
      <c r="AS15" s="934"/>
      <c r="AT15" s="934"/>
      <c r="AU15" s="934"/>
      <c r="AV15" s="934"/>
      <c r="AW15" s="934"/>
      <c r="AX15" s="934"/>
      <c r="AY15" s="934"/>
      <c r="AZ15" s="934"/>
      <c r="BA15" s="934"/>
      <c r="BB15" s="934"/>
      <c r="BC15" s="934"/>
      <c r="BD15" s="934"/>
      <c r="BE15" s="934"/>
      <c r="BF15" s="934"/>
      <c r="BG15" s="934"/>
      <c r="BH15" s="934"/>
      <c r="BI15" s="934"/>
      <c r="BJ15" s="934"/>
      <c r="BK15" s="934"/>
      <c r="BL15" s="934"/>
      <c r="BM15" s="934"/>
      <c r="BN15" s="934"/>
      <c r="BO15" s="934"/>
      <c r="BP15" s="934"/>
      <c r="BQ15" s="934"/>
      <c r="BR15" s="934"/>
      <c r="BS15" s="934"/>
      <c r="BT15" s="934"/>
      <c r="BU15" s="934"/>
      <c r="BV15" s="934"/>
      <c r="BW15" s="934"/>
      <c r="BX15" s="934"/>
      <c r="BY15" s="934"/>
      <c r="BZ15" s="934"/>
      <c r="CA15" s="934"/>
      <c r="CB15" s="934"/>
      <c r="CC15" s="934"/>
      <c r="CD15" s="934"/>
      <c r="CE15" s="934"/>
      <c r="CF15" s="934"/>
      <c r="CG15" s="934"/>
      <c r="CH15" s="934"/>
      <c r="CI15" s="934"/>
      <c r="CJ15" s="934"/>
      <c r="CK15" s="934"/>
      <c r="CL15" s="934"/>
      <c r="CM15" s="934"/>
      <c r="CN15" s="934"/>
      <c r="CO15" s="934"/>
      <c r="CP15" s="934"/>
      <c r="CQ15" s="934"/>
      <c r="CR15" s="934"/>
      <c r="CS15" s="934"/>
      <c r="CT15" s="934"/>
      <c r="CU15" s="934"/>
      <c r="CV15" s="934"/>
      <c r="CW15" s="934"/>
      <c r="CX15" s="934"/>
      <c r="CY15" s="934"/>
      <c r="CZ15" s="934"/>
      <c r="DA15" s="934"/>
      <c r="DB15" s="934"/>
      <c r="DC15" s="934"/>
      <c r="DD15" s="934"/>
      <c r="DE15" s="934"/>
      <c r="DF15" s="934"/>
      <c r="DG15" s="934"/>
      <c r="DH15" s="934"/>
      <c r="DI15" s="934"/>
      <c r="DJ15" s="934"/>
      <c r="DK15" s="934"/>
      <c r="DL15" s="934"/>
      <c r="DM15" s="934"/>
      <c r="DN15" s="934"/>
      <c r="DO15" s="934"/>
      <c r="DP15" s="934"/>
      <c r="DQ15" s="934"/>
      <c r="DR15" s="934"/>
      <c r="DS15" s="934"/>
      <c r="DT15" s="934"/>
      <c r="DU15" s="934"/>
      <c r="DV15" s="934"/>
      <c r="DW15" s="934"/>
      <c r="DX15" s="934"/>
      <c r="DY15" s="934"/>
      <c r="DZ15" s="934"/>
      <c r="EA15" s="934"/>
      <c r="EB15" s="934"/>
      <c r="EC15" s="934"/>
      <c r="ED15" s="934"/>
      <c r="EE15" s="934"/>
      <c r="EF15" s="934"/>
      <c r="EG15" s="934"/>
      <c r="EH15" s="934"/>
      <c r="EI15" s="934"/>
      <c r="EJ15" s="934"/>
      <c r="EK15" s="934"/>
      <c r="EL15" s="934"/>
      <c r="EM15" s="934"/>
      <c r="EN15" s="934"/>
      <c r="EO15" s="934"/>
    </row>
    <row r="16" spans="1:145" s="908" customFormat="1" ht="12.75">
      <c r="A16" s="916" t="s">
        <v>25</v>
      </c>
      <c r="B16" s="588">
        <f>SUM(C16-D16)/D16</f>
        <v>0.006870834556550092</v>
      </c>
      <c r="C16" s="707">
        <f>SUM(C4:C10)</f>
        <v>161197</v>
      </c>
      <c r="D16" s="707">
        <f>SUM(D4:D10)</f>
        <v>160097</v>
      </c>
      <c r="E16" s="707">
        <f>SUM(E4:E10)</f>
        <v>134524</v>
      </c>
      <c r="F16" s="707">
        <f>SUM(F4:F10)</f>
        <v>108573</v>
      </c>
      <c r="G16" s="588">
        <f>SUM(H16-I16)/I16</f>
        <v>0.12339335978566826</v>
      </c>
      <c r="H16" s="707">
        <f>SUM(H4:H10)</f>
        <v>66251</v>
      </c>
      <c r="I16" s="707">
        <f>SUM(I4:I10)</f>
        <v>58974</v>
      </c>
      <c r="J16" s="707">
        <f>SUM(J4:J10)</f>
        <v>61719</v>
      </c>
      <c r="K16" s="707">
        <f>SUM(K4:K10)</f>
        <v>64986</v>
      </c>
      <c r="L16" s="588">
        <f>SUM(M16-N16)/N16</f>
        <v>-0.310206047263596</v>
      </c>
      <c r="M16" s="707">
        <f>SUM(M4:M10)</f>
        <v>40106</v>
      </c>
      <c r="N16" s="707">
        <f>SUM(N4:N10)</f>
        <v>58142</v>
      </c>
      <c r="O16" s="707">
        <f>SUM(O4:O10)</f>
        <v>62695</v>
      </c>
      <c r="P16" s="707">
        <f>SUM(P4:P10)</f>
        <v>41954</v>
      </c>
      <c r="Q16" s="588">
        <f>SUM(R16-S16)/S16</f>
        <v>0.43773753632908563</v>
      </c>
      <c r="R16" s="707">
        <f>SUM(R4:R10)</f>
        <v>12862</v>
      </c>
      <c r="S16" s="707">
        <f>SUM(S4:S10)</f>
        <v>8946</v>
      </c>
      <c r="T16" s="707">
        <f>SUM(T4:T10)</f>
        <v>10136</v>
      </c>
      <c r="U16" s="707">
        <f>SUM(U4:U10)</f>
        <v>13492</v>
      </c>
      <c r="V16" s="588">
        <f>SUM(W16-X16)/X16</f>
        <v>-0.02006926219339598</v>
      </c>
      <c r="W16" s="707">
        <f>SUM(W4:W10)</f>
        <v>280416</v>
      </c>
      <c r="X16" s="707">
        <f>SUM(X4:X10)</f>
        <v>286159</v>
      </c>
      <c r="Y16" s="707">
        <f>SUM(Y4:Y10)</f>
        <v>269074</v>
      </c>
      <c r="Z16" s="707">
        <f>SUM(Z4:Z10)</f>
        <v>229005</v>
      </c>
      <c r="AA16" s="588">
        <f>SUM(AB16-AC16)/AC16</f>
        <v>-0.15975979311110758</v>
      </c>
      <c r="AB16" s="707">
        <f>SUM(AB4:AB10)</f>
        <v>105919</v>
      </c>
      <c r="AC16" s="707">
        <f>SUM(AC4:AC10)</f>
        <v>126058</v>
      </c>
      <c r="AD16" s="707">
        <f>SUM(AD4:AD10)</f>
        <v>75681</v>
      </c>
      <c r="AE16" s="707">
        <f>SUM(AE4:AE10)</f>
        <v>78295</v>
      </c>
      <c r="AF16" s="707">
        <f>SUM(AF4:AF10)</f>
        <v>52462</v>
      </c>
      <c r="AG16" s="588">
        <f>SUM(AH16-AI16)/AI16</f>
        <v>-0.06278731832990876</v>
      </c>
      <c r="AH16" s="332">
        <f t="shared" si="10"/>
        <v>386335</v>
      </c>
      <c r="AI16" s="332">
        <f t="shared" si="10"/>
        <v>412217</v>
      </c>
      <c r="AJ16" s="332">
        <f t="shared" si="11"/>
        <v>344755</v>
      </c>
      <c r="AK16" s="800">
        <f t="shared" si="12"/>
        <v>307300</v>
      </c>
      <c r="AL16" s="588">
        <f>SUM(AM16-AN16)/AN16</f>
        <v>-0.058804589680258805</v>
      </c>
      <c r="AM16" s="707">
        <f>SUM(AM4:AM10)</f>
        <v>3075196</v>
      </c>
      <c r="AN16" s="707">
        <f>SUM(AN4:AN10)</f>
        <v>3267330</v>
      </c>
      <c r="AO16" s="707">
        <f>SUM(AO4:AO10)</f>
        <v>2963693</v>
      </c>
      <c r="AP16" s="1684">
        <f>SUM(AP4:AP10)</f>
        <v>2510062</v>
      </c>
      <c r="AQ16" s="1683"/>
      <c r="AR16" s="935"/>
      <c r="AS16" s="935"/>
      <c r="AT16" s="935"/>
      <c r="AU16" s="935"/>
      <c r="AV16" s="935"/>
      <c r="AW16" s="935"/>
      <c r="AX16" s="935"/>
      <c r="AY16" s="935"/>
      <c r="AZ16" s="935"/>
      <c r="BA16" s="935"/>
      <c r="BB16" s="935"/>
      <c r="BC16" s="935"/>
      <c r="BD16" s="935"/>
      <c r="BE16" s="935"/>
      <c r="BF16" s="935"/>
      <c r="BG16" s="935"/>
      <c r="BH16" s="935"/>
      <c r="BI16" s="935"/>
      <c r="BJ16" s="935"/>
      <c r="BK16" s="935"/>
      <c r="BL16" s="935"/>
      <c r="BM16" s="935"/>
      <c r="BN16" s="935"/>
      <c r="BO16" s="935"/>
      <c r="BP16" s="935"/>
      <c r="BQ16" s="935"/>
      <c r="BR16" s="935"/>
      <c r="BS16" s="935"/>
      <c r="BT16" s="935"/>
      <c r="BU16" s="935"/>
      <c r="BV16" s="935"/>
      <c r="BW16" s="935"/>
      <c r="BX16" s="935"/>
      <c r="BY16" s="935"/>
      <c r="BZ16" s="935"/>
      <c r="CA16" s="935"/>
      <c r="CB16" s="935"/>
      <c r="CC16" s="935"/>
      <c r="CD16" s="935"/>
      <c r="CE16" s="935"/>
      <c r="CF16" s="935"/>
      <c r="CG16" s="935"/>
      <c r="CH16" s="935"/>
      <c r="CI16" s="935"/>
      <c r="CJ16" s="935"/>
      <c r="CK16" s="935"/>
      <c r="CL16" s="935"/>
      <c r="CM16" s="935"/>
      <c r="CN16" s="935"/>
      <c r="CO16" s="935"/>
      <c r="CP16" s="935"/>
      <c r="CQ16" s="935"/>
      <c r="CR16" s="935"/>
      <c r="CS16" s="935"/>
      <c r="CT16" s="935"/>
      <c r="CU16" s="935"/>
      <c r="CV16" s="935"/>
      <c r="CW16" s="935"/>
      <c r="CX16" s="935"/>
      <c r="CY16" s="935"/>
      <c r="CZ16" s="935"/>
      <c r="DA16" s="935"/>
      <c r="DB16" s="935"/>
      <c r="DC16" s="935"/>
      <c r="DD16" s="935"/>
      <c r="DE16" s="935"/>
      <c r="DF16" s="935"/>
      <c r="DG16" s="935"/>
      <c r="DH16" s="935"/>
      <c r="DI16" s="935"/>
      <c r="DJ16" s="935"/>
      <c r="DK16" s="935"/>
      <c r="DL16" s="935"/>
      <c r="DM16" s="935"/>
      <c r="DN16" s="935"/>
      <c r="DO16" s="935"/>
      <c r="DP16" s="935"/>
      <c r="DQ16" s="935"/>
      <c r="DR16" s="935"/>
      <c r="DS16" s="935"/>
      <c r="DT16" s="935"/>
      <c r="DU16" s="935"/>
      <c r="DV16" s="935"/>
      <c r="DW16" s="935"/>
      <c r="DX16" s="935"/>
      <c r="DY16" s="935"/>
      <c r="DZ16" s="935"/>
      <c r="EA16" s="935"/>
      <c r="EB16" s="935"/>
      <c r="EC16" s="935"/>
      <c r="ED16" s="935"/>
      <c r="EE16" s="935"/>
      <c r="EF16" s="935"/>
      <c r="EG16" s="935"/>
      <c r="EH16" s="935"/>
      <c r="EI16" s="935"/>
      <c r="EJ16" s="935"/>
      <c r="EK16" s="935"/>
      <c r="EL16" s="935"/>
      <c r="EM16" s="935"/>
      <c r="EN16" s="935"/>
      <c r="EO16" s="935"/>
    </row>
    <row r="17" spans="1:145" s="909" customFormat="1" ht="13.5" thickBot="1">
      <c r="A17" s="918" t="s">
        <v>28</v>
      </c>
      <c r="B17" s="558">
        <f>SUM(C17-D17)/D17</f>
        <v>-0.042322944773126606</v>
      </c>
      <c r="C17" s="102">
        <f>AVERAGE(C4:C15)</f>
        <v>23028.14285714286</v>
      </c>
      <c r="D17" s="102">
        <f>AVERAGE(D4:D15)</f>
        <v>24045.833333333332</v>
      </c>
      <c r="E17" s="102">
        <f>AVERAGE(E4:E15)</f>
        <v>20115.75</v>
      </c>
      <c r="F17" s="356">
        <f>AVERAGE(F4:F15)</f>
        <v>16284.583333333334</v>
      </c>
      <c r="G17" s="558">
        <f>SUM(H17-I17)/I17</f>
        <v>0.08324806006145109</v>
      </c>
      <c r="H17" s="102">
        <f>AVERAGE(H4:H15)</f>
        <v>9464.42857142857</v>
      </c>
      <c r="I17" s="102">
        <f>AVERAGE(I4:I15)</f>
        <v>8737.083333333334</v>
      </c>
      <c r="J17" s="102">
        <f>AVERAGE(J4:J15)</f>
        <v>9110.333333333334</v>
      </c>
      <c r="K17" s="312">
        <f>AVERAGE(K4:K15)</f>
        <v>9499.75</v>
      </c>
      <c r="L17" s="558">
        <f>SUM(M17-N17)/N17</f>
        <v>-0.30516394953072895</v>
      </c>
      <c r="M17" s="102">
        <f>AVERAGE(M4:M14)</f>
        <v>5729.428571428572</v>
      </c>
      <c r="N17" s="102">
        <f>AVERAGE(N4:N14)</f>
        <v>8245.727272727272</v>
      </c>
      <c r="O17" s="102">
        <f>AVERAGE(O4:O15)</f>
        <v>8657.666666666666</v>
      </c>
      <c r="P17" s="312">
        <f>AVERAGE(P4:P15)</f>
        <v>5721.5</v>
      </c>
      <c r="Q17" s="558">
        <f>SUM(R17-S17)/S17</f>
        <v>0.4297200659540173</v>
      </c>
      <c r="R17" s="102">
        <f>AVERAGE(R4:R15)</f>
        <v>1837.4285714285713</v>
      </c>
      <c r="S17" s="102">
        <f>AVERAGE(S4:S15)</f>
        <v>1285.1666666666667</v>
      </c>
      <c r="T17" s="102">
        <f>AVERAGE(T4:T15)</f>
        <v>1333.3333333333333</v>
      </c>
      <c r="U17" s="312">
        <f>AVERAGE(U4:U15)</f>
        <v>1597.6666666666667</v>
      </c>
      <c r="V17" s="558">
        <f>SUM(W17-X17)/X17</f>
        <v>-0.05576632111092657</v>
      </c>
      <c r="W17" s="102">
        <f>AVERAGE(W4:W15)</f>
        <v>40059.42857142857</v>
      </c>
      <c r="X17" s="102">
        <f>AVERAGE(X4:X15)</f>
        <v>42425.333333333336</v>
      </c>
      <c r="Y17" s="102">
        <f>AVERAGE(Y4:Y15)</f>
        <v>39217.083333333336</v>
      </c>
      <c r="Z17" s="312">
        <f>AVERAGE(Z4:Z15)</f>
        <v>33103.5</v>
      </c>
      <c r="AA17" s="558">
        <f>SUM(AB17-AC17)/AC17</f>
        <v>-0.1679515890727152</v>
      </c>
      <c r="AB17" s="102">
        <f>AVERAGE(AB4:AB15)</f>
        <v>15131.285714285714</v>
      </c>
      <c r="AC17" s="102">
        <f>AVERAGE(AC4:AC15)</f>
        <v>18185.583333333332</v>
      </c>
      <c r="AD17" s="102">
        <f>AVERAGE(AD4:AD15)</f>
        <v>12635.916666666666</v>
      </c>
      <c r="AE17" s="102">
        <f>AVERAGE(AE4:AE15)</f>
        <v>11221.083333333334</v>
      </c>
      <c r="AF17" s="312">
        <f>AVERAGE(AF4:AF15)</f>
        <v>7973.727272727273</v>
      </c>
      <c r="AG17" s="558">
        <f>SUM(AH17-AI17)/AI17</f>
        <v>-0.08942617401352147</v>
      </c>
      <c r="AH17" s="295">
        <f>AVERAGE(AH4:AH15)</f>
        <v>55190.71428571428</v>
      </c>
      <c r="AI17" s="295">
        <f>AVERAGE(AI4:AI15)</f>
        <v>60610.916666666664</v>
      </c>
      <c r="AJ17" s="295">
        <f>AVERAGE(AJ4:AJ15)</f>
        <v>51853</v>
      </c>
      <c r="AK17" s="356">
        <f>AVERAGE(AK4:AK15)</f>
        <v>44324.583333333336</v>
      </c>
      <c r="AL17" s="558">
        <f>SUM(AM17-AN17)/AN17</f>
        <v>-0.08101632220173863</v>
      </c>
      <c r="AM17" s="295">
        <f>AVERAGE(AM4:AM15)</f>
        <v>439313.71428571426</v>
      </c>
      <c r="AN17" s="295">
        <f>AVERAGE(AN4:AN15)</f>
        <v>478043</v>
      </c>
      <c r="AO17" s="102">
        <f>AVERAGE(AO4:AO15)</f>
        <v>437129</v>
      </c>
      <c r="AP17" s="312">
        <f>AVERAGE(AP4:AP15)</f>
        <v>359587.75</v>
      </c>
      <c r="AQ17" s="935"/>
      <c r="AR17" s="935"/>
      <c r="AS17" s="935"/>
      <c r="AT17" s="935"/>
      <c r="AU17" s="935"/>
      <c r="AV17" s="935"/>
      <c r="AW17" s="935"/>
      <c r="AX17" s="935"/>
      <c r="AY17" s="935"/>
      <c r="AZ17" s="935"/>
      <c r="BA17" s="935"/>
      <c r="BB17" s="935"/>
      <c r="BC17" s="935"/>
      <c r="BD17" s="935"/>
      <c r="BE17" s="935"/>
      <c r="BF17" s="935"/>
      <c r="BG17" s="935"/>
      <c r="BH17" s="935"/>
      <c r="BI17" s="935"/>
      <c r="BJ17" s="935"/>
      <c r="BK17" s="935"/>
      <c r="BL17" s="935"/>
      <c r="BM17" s="935"/>
      <c r="BN17" s="935"/>
      <c r="BO17" s="935"/>
      <c r="BP17" s="935"/>
      <c r="BQ17" s="935"/>
      <c r="BR17" s="935"/>
      <c r="BS17" s="935"/>
      <c r="BT17" s="935"/>
      <c r="BU17" s="935"/>
      <c r="BV17" s="935"/>
      <c r="BW17" s="935"/>
      <c r="BX17" s="935"/>
      <c r="BY17" s="935"/>
      <c r="BZ17" s="935"/>
      <c r="CA17" s="935"/>
      <c r="CB17" s="935"/>
      <c r="CC17" s="935"/>
      <c r="CD17" s="935"/>
      <c r="CE17" s="935"/>
      <c r="CF17" s="935"/>
      <c r="CG17" s="935"/>
      <c r="CH17" s="935"/>
      <c r="CI17" s="935"/>
      <c r="CJ17" s="935"/>
      <c r="CK17" s="935"/>
      <c r="CL17" s="935"/>
      <c r="CM17" s="935"/>
      <c r="CN17" s="935"/>
      <c r="CO17" s="935"/>
      <c r="CP17" s="935"/>
      <c r="CQ17" s="935"/>
      <c r="CR17" s="935"/>
      <c r="CS17" s="935"/>
      <c r="CT17" s="935"/>
      <c r="CU17" s="935"/>
      <c r="CV17" s="935"/>
      <c r="CW17" s="935"/>
      <c r="CX17" s="935"/>
      <c r="CY17" s="935"/>
      <c r="CZ17" s="935"/>
      <c r="DA17" s="935"/>
      <c r="DB17" s="935"/>
      <c r="DC17" s="935"/>
      <c r="DD17" s="935"/>
      <c r="DE17" s="935"/>
      <c r="DF17" s="935"/>
      <c r="DG17" s="935"/>
      <c r="DH17" s="935"/>
      <c r="DI17" s="935"/>
      <c r="DJ17" s="935"/>
      <c r="DK17" s="935"/>
      <c r="DL17" s="935"/>
      <c r="DM17" s="935"/>
      <c r="DN17" s="935"/>
      <c r="DO17" s="935"/>
      <c r="DP17" s="935"/>
      <c r="DQ17" s="935"/>
      <c r="DR17" s="935"/>
      <c r="DS17" s="935"/>
      <c r="DT17" s="935"/>
      <c r="DU17" s="935"/>
      <c r="DV17" s="935"/>
      <c r="DW17" s="935"/>
      <c r="DX17" s="935"/>
      <c r="DY17" s="935"/>
      <c r="DZ17" s="935"/>
      <c r="EA17" s="935"/>
      <c r="EB17" s="935"/>
      <c r="EC17" s="935"/>
      <c r="ED17" s="935"/>
      <c r="EE17" s="935"/>
      <c r="EF17" s="935"/>
      <c r="EG17" s="935"/>
      <c r="EH17" s="935"/>
      <c r="EI17" s="935"/>
      <c r="EJ17" s="935"/>
      <c r="EK17" s="935"/>
      <c r="EL17" s="935"/>
      <c r="EM17" s="935"/>
      <c r="EN17" s="935"/>
      <c r="EO17" s="935"/>
    </row>
  </sheetData>
  <mergeCells count="10">
    <mergeCell ref="B1:AP1"/>
    <mergeCell ref="AL3:AP3"/>
    <mergeCell ref="A1:A2"/>
    <mergeCell ref="B3:F3"/>
    <mergeCell ref="G3:K3"/>
    <mergeCell ref="V3:Z3"/>
    <mergeCell ref="AA3:AF3"/>
    <mergeCell ref="AG3:AK3"/>
    <mergeCell ref="L3:P3"/>
    <mergeCell ref="Q3:U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U2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4.421875" style="0" customWidth="1"/>
    <col min="2" max="2" width="6.140625" style="0" customWidth="1"/>
    <col min="3" max="7" width="7.421875" style="0" customWidth="1"/>
    <col min="8" max="8" width="6.140625" style="0" bestFit="1" customWidth="1"/>
    <col min="9" max="10" width="7.7109375" style="0" customWidth="1"/>
    <col min="11" max="13" width="6.57421875" style="0" customWidth="1"/>
    <col min="14" max="14" width="6.140625" style="0" bestFit="1" customWidth="1"/>
    <col min="15" max="16" width="6.57421875" style="0" customWidth="1"/>
    <col min="17" max="19" width="6.57421875" style="0" bestFit="1" customWidth="1"/>
    <col min="20" max="20" width="6.140625" style="0" bestFit="1" customWidth="1"/>
    <col min="21" max="22" width="7.7109375" style="0" customWidth="1"/>
    <col min="23" max="25" width="6.57421875" style="0" customWidth="1"/>
    <col min="26" max="26" width="6.140625" style="0" bestFit="1" customWidth="1"/>
    <col min="27" max="31" width="6.57421875" style="0" customWidth="1"/>
    <col min="32" max="32" width="6.140625" style="0" customWidth="1"/>
    <col min="33" max="37" width="8.7109375" style="0" customWidth="1"/>
  </cols>
  <sheetData>
    <row r="1" spans="1:47" s="749" customFormat="1" ht="13.5" thickBot="1">
      <c r="A1" s="1901" t="s">
        <v>137</v>
      </c>
      <c r="B1" s="1903"/>
      <c r="C1" s="1904"/>
      <c r="D1" s="1904"/>
      <c r="E1" s="1905"/>
      <c r="F1" s="244"/>
      <c r="G1" s="244"/>
      <c r="H1" s="271"/>
      <c r="I1" s="271"/>
      <c r="J1" s="271"/>
      <c r="K1" s="271"/>
      <c r="L1" s="271"/>
      <c r="M1" s="271"/>
      <c r="N1" s="244"/>
      <c r="O1" s="386"/>
      <c r="P1" s="386"/>
      <c r="Q1" s="386"/>
      <c r="R1" s="386"/>
      <c r="S1" s="386"/>
      <c r="T1" s="271"/>
      <c r="U1" s="301"/>
      <c r="V1" s="301"/>
      <c r="W1" s="301"/>
      <c r="X1" s="301"/>
      <c r="Y1" s="301"/>
      <c r="Z1" s="271"/>
      <c r="AA1" s="2082"/>
      <c r="AB1" s="2082"/>
      <c r="AC1" s="2083"/>
      <c r="AD1" s="2083"/>
      <c r="AE1" s="2083"/>
      <c r="AF1" s="2083"/>
      <c r="AG1" s="2083"/>
      <c r="AH1" s="2083"/>
      <c r="AI1" s="2083"/>
      <c r="AJ1" s="2083"/>
      <c r="AK1" s="2083"/>
      <c r="AL1" s="787"/>
      <c r="AM1" s="787"/>
      <c r="AN1" s="787"/>
      <c r="AO1" s="787"/>
      <c r="AP1" s="787"/>
      <c r="AQ1" s="787"/>
      <c r="AR1" s="787"/>
      <c r="AS1" s="787"/>
      <c r="AT1" s="787"/>
      <c r="AU1" s="787"/>
    </row>
    <row r="2" spans="1:47" s="749" customFormat="1" ht="23.25" thickBot="1">
      <c r="A2" s="1902"/>
      <c r="B2" s="554" t="s">
        <v>179</v>
      </c>
      <c r="C2" s="466">
        <v>2008</v>
      </c>
      <c r="D2" s="466">
        <v>2007</v>
      </c>
      <c r="E2" s="466">
        <v>2006</v>
      </c>
      <c r="F2" s="466">
        <v>2005</v>
      </c>
      <c r="G2" s="466">
        <v>2004</v>
      </c>
      <c r="H2" s="496" t="s">
        <v>179</v>
      </c>
      <c r="I2" s="112">
        <v>2008</v>
      </c>
      <c r="J2" s="112">
        <v>2007</v>
      </c>
      <c r="K2" s="112">
        <v>2006</v>
      </c>
      <c r="L2" s="112">
        <v>2005</v>
      </c>
      <c r="M2" s="112">
        <v>2004</v>
      </c>
      <c r="N2" s="331" t="s">
        <v>179</v>
      </c>
      <c r="O2" s="177">
        <v>2008</v>
      </c>
      <c r="P2" s="177">
        <v>2007</v>
      </c>
      <c r="Q2" s="177">
        <v>2006</v>
      </c>
      <c r="R2" s="177">
        <v>2005</v>
      </c>
      <c r="S2" s="177">
        <v>2004</v>
      </c>
      <c r="T2" s="460" t="s">
        <v>179</v>
      </c>
      <c r="U2" s="130">
        <v>2008</v>
      </c>
      <c r="V2" s="130">
        <v>2007</v>
      </c>
      <c r="W2" s="130">
        <v>2006</v>
      </c>
      <c r="X2" s="130">
        <v>2005</v>
      </c>
      <c r="Y2" s="130">
        <v>2004</v>
      </c>
      <c r="Z2" s="501" t="s">
        <v>179</v>
      </c>
      <c r="AA2" s="114">
        <v>2008</v>
      </c>
      <c r="AB2" s="114">
        <v>2007</v>
      </c>
      <c r="AC2" s="114">
        <v>2006</v>
      </c>
      <c r="AD2" s="114">
        <v>2005</v>
      </c>
      <c r="AE2" s="114">
        <v>2004</v>
      </c>
      <c r="AF2" s="568" t="s">
        <v>179</v>
      </c>
      <c r="AG2" s="569">
        <v>2008</v>
      </c>
      <c r="AH2" s="569">
        <v>2007</v>
      </c>
      <c r="AI2" s="569">
        <v>2006</v>
      </c>
      <c r="AJ2" s="569">
        <v>2005</v>
      </c>
      <c r="AK2" s="570">
        <v>2004</v>
      </c>
      <c r="AL2" s="787"/>
      <c r="AM2" s="787"/>
      <c r="AN2" s="787"/>
      <c r="AO2" s="787"/>
      <c r="AP2" s="787"/>
      <c r="AQ2" s="787"/>
      <c r="AR2" s="787"/>
      <c r="AS2" s="787"/>
      <c r="AT2" s="787"/>
      <c r="AU2" s="787"/>
    </row>
    <row r="3" spans="1:47" s="789" customFormat="1" ht="13.5" thickBot="1">
      <c r="A3" s="309"/>
      <c r="B3" s="1930" t="s">
        <v>100</v>
      </c>
      <c r="C3" s="1931"/>
      <c r="D3" s="1931"/>
      <c r="E3" s="1931"/>
      <c r="F3" s="1931"/>
      <c r="G3" s="1932"/>
      <c r="H3" s="1930" t="s">
        <v>69</v>
      </c>
      <c r="I3" s="1931"/>
      <c r="J3" s="1931"/>
      <c r="K3" s="1931"/>
      <c r="L3" s="1931"/>
      <c r="M3" s="1932"/>
      <c r="N3" s="1930" t="s">
        <v>71</v>
      </c>
      <c r="O3" s="1931"/>
      <c r="P3" s="1931"/>
      <c r="Q3" s="1931"/>
      <c r="R3" s="1931"/>
      <c r="S3" s="1932"/>
      <c r="T3" s="1930" t="s">
        <v>49</v>
      </c>
      <c r="U3" s="1931"/>
      <c r="V3" s="1931"/>
      <c r="W3" s="1931"/>
      <c r="X3" s="1931"/>
      <c r="Y3" s="1932"/>
      <c r="Z3" s="1930" t="s">
        <v>116</v>
      </c>
      <c r="AA3" s="1931"/>
      <c r="AB3" s="1931"/>
      <c r="AC3" s="1931"/>
      <c r="AD3" s="1931"/>
      <c r="AE3" s="1932"/>
      <c r="AF3" s="1893" t="s">
        <v>143</v>
      </c>
      <c r="AG3" s="1885"/>
      <c r="AH3" s="1885"/>
      <c r="AI3" s="1885"/>
      <c r="AJ3" s="1885"/>
      <c r="AK3" s="1886"/>
      <c r="AL3" s="788"/>
      <c r="AM3" s="788"/>
      <c r="AN3" s="788"/>
      <c r="AO3" s="788"/>
      <c r="AP3" s="788"/>
      <c r="AQ3" s="788"/>
      <c r="AR3" s="788"/>
      <c r="AS3" s="788"/>
      <c r="AT3" s="788"/>
      <c r="AU3" s="788"/>
    </row>
    <row r="4" spans="1:47" s="749" customFormat="1" ht="12.75">
      <c r="A4" s="750" t="s">
        <v>13</v>
      </c>
      <c r="B4" s="763">
        <f aca="true" t="shared" si="0" ref="B4:B10">SUM(C4-D4)/D4</f>
        <v>-0.020731865005818716</v>
      </c>
      <c r="C4" s="752">
        <v>22720</v>
      </c>
      <c r="D4" s="752">
        <f>SUM(5875)+(8663*2)</f>
        <v>23201</v>
      </c>
      <c r="E4" s="752">
        <v>25367</v>
      </c>
      <c r="F4" s="753">
        <v>22403</v>
      </c>
      <c r="G4" s="790">
        <v>21121</v>
      </c>
      <c r="H4" s="1353">
        <f aca="true" t="shared" si="1" ref="H4:H10">SUM(I4-J4)/J4</f>
        <v>0.07885959339263024</v>
      </c>
      <c r="I4" s="614">
        <v>13585</v>
      </c>
      <c r="J4" s="614">
        <f>SUM(3594)+(4499*2)</f>
        <v>12592</v>
      </c>
      <c r="K4" s="614">
        <v>11281</v>
      </c>
      <c r="L4" s="614">
        <v>9246</v>
      </c>
      <c r="M4" s="1354">
        <v>8692</v>
      </c>
      <c r="N4" s="1355">
        <f aca="true" t="shared" si="2" ref="N4:N10">SUM(O4-P4)/P4</f>
        <v>0.014304472941636634</v>
      </c>
      <c r="O4" s="1356">
        <f>+C4+I4</f>
        <v>36305</v>
      </c>
      <c r="P4" s="1356">
        <f>+D4+J4</f>
        <v>35793</v>
      </c>
      <c r="Q4" s="1356">
        <f>+E4+K4</f>
        <v>36648</v>
      </c>
      <c r="R4" s="1356">
        <f>+F4+L4</f>
        <v>31649</v>
      </c>
      <c r="S4" s="1356">
        <f>+G4+M4</f>
        <v>29813</v>
      </c>
      <c r="T4" s="1357">
        <f aca="true" t="shared" si="3" ref="T4:T10">SUM(U4-V4)/V4</f>
        <v>-0.015605381165919283</v>
      </c>
      <c r="U4" s="1038">
        <v>16464</v>
      </c>
      <c r="V4" s="1038">
        <f>SUM(551)+(859*2)+2664+(5896*2)</f>
        <v>16725</v>
      </c>
      <c r="W4" s="1038">
        <v>15271</v>
      </c>
      <c r="X4" s="1038">
        <v>15175</v>
      </c>
      <c r="Y4" s="1038">
        <v>17876</v>
      </c>
      <c r="Z4" s="1358">
        <f aca="true" t="shared" si="4" ref="Z4:Z10">SUM(AA4-AB4)/AB4</f>
        <v>0.004779313759092121</v>
      </c>
      <c r="AA4" s="263">
        <f>+O4+U4</f>
        <v>52769</v>
      </c>
      <c r="AB4" s="263">
        <f>+P4+V4</f>
        <v>52518</v>
      </c>
      <c r="AC4" s="263">
        <f>+Q4+W4</f>
        <v>51919</v>
      </c>
      <c r="AD4" s="263">
        <f>+R4+X4</f>
        <v>46824</v>
      </c>
      <c r="AE4" s="263">
        <f>+S4+Y4</f>
        <v>47689</v>
      </c>
      <c r="AF4" s="1076">
        <f aca="true" t="shared" si="5" ref="AF4:AF9">SUM(AG4-AH4)/AH4</f>
        <v>-0.014505825653515516</v>
      </c>
      <c r="AG4" s="760">
        <v>477467</v>
      </c>
      <c r="AH4" s="760">
        <v>484495</v>
      </c>
      <c r="AI4" s="760">
        <v>488935</v>
      </c>
      <c r="AJ4" s="1359">
        <v>422080</v>
      </c>
      <c r="AK4" s="761">
        <v>401715</v>
      </c>
      <c r="AL4" s="787"/>
      <c r="AM4" s="787"/>
      <c r="AN4" s="787"/>
      <c r="AO4" s="787"/>
      <c r="AP4" s="787"/>
      <c r="AQ4" s="787"/>
      <c r="AR4" s="787"/>
      <c r="AS4" s="787"/>
      <c r="AT4" s="787"/>
      <c r="AU4" s="787"/>
    </row>
    <row r="5" spans="1:47" s="749" customFormat="1" ht="12.75">
      <c r="A5" s="762" t="s">
        <v>14</v>
      </c>
      <c r="B5" s="763">
        <f t="shared" si="0"/>
        <v>0.04413841807909605</v>
      </c>
      <c r="C5" s="352">
        <v>26613</v>
      </c>
      <c r="D5" s="352">
        <v>25488</v>
      </c>
      <c r="E5" s="352">
        <v>23980</v>
      </c>
      <c r="F5" s="737">
        <v>23383</v>
      </c>
      <c r="G5" s="738">
        <v>21757</v>
      </c>
      <c r="H5" s="764">
        <f t="shared" si="1"/>
        <v>0.248</v>
      </c>
      <c r="I5" s="353">
        <v>16380</v>
      </c>
      <c r="J5" s="353">
        <v>13125</v>
      </c>
      <c r="K5" s="353">
        <v>13686</v>
      </c>
      <c r="L5" s="353">
        <v>11599</v>
      </c>
      <c r="M5" s="871">
        <v>10113</v>
      </c>
      <c r="N5" s="765">
        <f t="shared" si="2"/>
        <v>0.11343329966591563</v>
      </c>
      <c r="O5" s="766">
        <f aca="true" t="shared" si="6" ref="O5:P16">+C5+I5</f>
        <v>42993</v>
      </c>
      <c r="P5" s="766">
        <f t="shared" si="6"/>
        <v>38613</v>
      </c>
      <c r="Q5" s="766">
        <f aca="true" t="shared" si="7" ref="Q5:Q16">+E5+K5</f>
        <v>37666</v>
      </c>
      <c r="R5" s="766">
        <f aca="true" t="shared" si="8" ref="R5:R16">+F5+L5</f>
        <v>34982</v>
      </c>
      <c r="S5" s="766">
        <f aca="true" t="shared" si="9" ref="S5:S16">+G5+M5</f>
        <v>31870</v>
      </c>
      <c r="T5" s="767">
        <f t="shared" si="3"/>
        <v>-0.11808965121469106</v>
      </c>
      <c r="U5" s="329">
        <v>13831</v>
      </c>
      <c r="V5" s="329">
        <v>15683</v>
      </c>
      <c r="W5" s="329">
        <v>10924</v>
      </c>
      <c r="X5" s="329">
        <v>12082</v>
      </c>
      <c r="Y5" s="329">
        <v>12512</v>
      </c>
      <c r="Z5" s="768">
        <f t="shared" si="4"/>
        <v>0.04655959923382938</v>
      </c>
      <c r="AA5" s="121">
        <f aca="true" t="shared" si="10" ref="AA5:AB16">+O5+U5</f>
        <v>56824</v>
      </c>
      <c r="AB5" s="121">
        <f t="shared" si="10"/>
        <v>54296</v>
      </c>
      <c r="AC5" s="121">
        <f aca="true" t="shared" si="11" ref="AC5:AC16">+Q5+W5</f>
        <v>48590</v>
      </c>
      <c r="AD5" s="121">
        <f aca="true" t="shared" si="12" ref="AD5:AD16">+R5+X5</f>
        <v>47064</v>
      </c>
      <c r="AE5" s="121">
        <f aca="true" t="shared" si="13" ref="AE5:AE16">+S5+Y5</f>
        <v>44382</v>
      </c>
      <c r="AF5" s="1076">
        <f t="shared" si="5"/>
        <v>0.07712171722564291</v>
      </c>
      <c r="AG5" s="481">
        <v>544750</v>
      </c>
      <c r="AH5" s="481">
        <v>505746</v>
      </c>
      <c r="AI5" s="481">
        <v>490556</v>
      </c>
      <c r="AJ5" s="770">
        <v>462776</v>
      </c>
      <c r="AK5" s="769">
        <v>444508</v>
      </c>
      <c r="AL5" s="787"/>
      <c r="AM5" s="787"/>
      <c r="AN5" s="787"/>
      <c r="AO5" s="787"/>
      <c r="AP5" s="787"/>
      <c r="AQ5" s="787"/>
      <c r="AR5" s="787"/>
      <c r="AS5" s="787"/>
      <c r="AT5" s="787"/>
      <c r="AU5" s="787"/>
    </row>
    <row r="6" spans="1:47" s="749" customFormat="1" ht="12.75">
      <c r="A6" s="762" t="s">
        <v>15</v>
      </c>
      <c r="B6" s="763">
        <f t="shared" si="0"/>
        <v>-0.021644098517965667</v>
      </c>
      <c r="C6" s="352">
        <v>27528</v>
      </c>
      <c r="D6" s="352">
        <v>28137</v>
      </c>
      <c r="E6" s="352">
        <v>24292</v>
      </c>
      <c r="F6" s="737">
        <v>22841</v>
      </c>
      <c r="G6" s="738">
        <v>21733</v>
      </c>
      <c r="H6" s="764">
        <f t="shared" si="1"/>
        <v>-0.11830114059723734</v>
      </c>
      <c r="I6" s="353">
        <v>15383</v>
      </c>
      <c r="J6" s="353">
        <v>17447</v>
      </c>
      <c r="K6" s="353">
        <v>12905</v>
      </c>
      <c r="L6" s="353">
        <v>11740</v>
      </c>
      <c r="M6" s="871">
        <v>11825</v>
      </c>
      <c r="N6" s="765">
        <f t="shared" si="2"/>
        <v>-0.05863899613899614</v>
      </c>
      <c r="O6" s="766">
        <f>+C6+I6</f>
        <v>42911</v>
      </c>
      <c r="P6" s="766">
        <f t="shared" si="6"/>
        <v>45584</v>
      </c>
      <c r="Q6" s="766">
        <f t="shared" si="7"/>
        <v>37197</v>
      </c>
      <c r="R6" s="766">
        <f t="shared" si="8"/>
        <v>34581</v>
      </c>
      <c r="S6" s="766">
        <f t="shared" si="9"/>
        <v>33558</v>
      </c>
      <c r="T6" s="767">
        <f t="shared" si="3"/>
        <v>-0.25287195292799103</v>
      </c>
      <c r="U6" s="329">
        <v>10666</v>
      </c>
      <c r="V6" s="329">
        <v>14276</v>
      </c>
      <c r="W6" s="329">
        <f>371+10652</f>
        <v>11023</v>
      </c>
      <c r="X6" s="329">
        <v>11326</v>
      </c>
      <c r="Y6" s="329">
        <v>13369</v>
      </c>
      <c r="Z6" s="768">
        <f t="shared" si="4"/>
        <v>-0.10496157701303041</v>
      </c>
      <c r="AA6" s="121">
        <f>+O6+U6</f>
        <v>53577</v>
      </c>
      <c r="AB6" s="121">
        <f t="shared" si="10"/>
        <v>59860</v>
      </c>
      <c r="AC6" s="121">
        <f t="shared" si="11"/>
        <v>48220</v>
      </c>
      <c r="AD6" s="121">
        <f t="shared" si="12"/>
        <v>45907</v>
      </c>
      <c r="AE6" s="121">
        <f t="shared" si="13"/>
        <v>46927</v>
      </c>
      <c r="AF6" s="1076">
        <f t="shared" si="5"/>
        <v>-0.10922377939408275</v>
      </c>
      <c r="AG6" s="481">
        <v>542301</v>
      </c>
      <c r="AH6" s="481">
        <v>608796</v>
      </c>
      <c r="AI6" s="481">
        <v>479795</v>
      </c>
      <c r="AJ6" s="770">
        <v>447235</v>
      </c>
      <c r="AK6" s="769">
        <v>441162</v>
      </c>
      <c r="AL6" s="787"/>
      <c r="AM6" s="787"/>
      <c r="AN6" s="787"/>
      <c r="AO6" s="787"/>
      <c r="AP6" s="787"/>
      <c r="AQ6" s="787"/>
      <c r="AR6" s="787"/>
      <c r="AS6" s="787"/>
      <c r="AT6" s="787"/>
      <c r="AU6" s="787"/>
    </row>
    <row r="7" spans="1:47" s="749" customFormat="1" ht="12.75">
      <c r="A7" s="762" t="s">
        <v>16</v>
      </c>
      <c r="B7" s="763">
        <f t="shared" si="0"/>
        <v>0.07317073170731707</v>
      </c>
      <c r="C7" s="352">
        <v>26708</v>
      </c>
      <c r="D7" s="352">
        <v>24887</v>
      </c>
      <c r="E7" s="352">
        <f>SUM(8307)+(10496*2)</f>
        <v>29299</v>
      </c>
      <c r="F7" s="737">
        <v>26024</v>
      </c>
      <c r="G7" s="738">
        <v>24637</v>
      </c>
      <c r="H7" s="764">
        <f t="shared" si="1"/>
        <v>0.44109055501460565</v>
      </c>
      <c r="I7" s="353">
        <v>19240</v>
      </c>
      <c r="J7" s="353">
        <v>13351</v>
      </c>
      <c r="K7" s="353">
        <f>SUM(3745)+(5552*2)</f>
        <v>14849</v>
      </c>
      <c r="L7" s="353">
        <v>12830</v>
      </c>
      <c r="M7" s="871">
        <v>10758</v>
      </c>
      <c r="N7" s="765">
        <f t="shared" si="2"/>
        <v>0.20163188451278832</v>
      </c>
      <c r="O7" s="766">
        <f>+C7+I7</f>
        <v>45948</v>
      </c>
      <c r="P7" s="766">
        <f t="shared" si="6"/>
        <v>38238</v>
      </c>
      <c r="Q7" s="766">
        <f t="shared" si="7"/>
        <v>44148</v>
      </c>
      <c r="R7" s="766">
        <f t="shared" si="8"/>
        <v>38854</v>
      </c>
      <c r="S7" s="766">
        <f t="shared" si="9"/>
        <v>35395</v>
      </c>
      <c r="T7" s="767">
        <f t="shared" si="3"/>
        <v>0.14385697456863697</v>
      </c>
      <c r="U7" s="329">
        <v>16507</v>
      </c>
      <c r="V7" s="329">
        <v>14431</v>
      </c>
      <c r="W7" s="329">
        <f>SUM(39+3313)+(352*2)+(4773*2)</f>
        <v>13602</v>
      </c>
      <c r="X7" s="329">
        <v>15830</v>
      </c>
      <c r="Y7" s="329">
        <v>12426</v>
      </c>
      <c r="Z7" s="768">
        <f t="shared" si="4"/>
        <v>0.1858018948527597</v>
      </c>
      <c r="AA7" s="121">
        <f>+O7+U7</f>
        <v>62455</v>
      </c>
      <c r="AB7" s="121">
        <f t="shared" si="10"/>
        <v>52669</v>
      </c>
      <c r="AC7" s="121">
        <f t="shared" si="11"/>
        <v>57750</v>
      </c>
      <c r="AD7" s="121">
        <f t="shared" si="12"/>
        <v>54684</v>
      </c>
      <c r="AE7" s="121">
        <f t="shared" si="13"/>
        <v>47821</v>
      </c>
      <c r="AF7" s="1076">
        <f t="shared" si="5"/>
        <v>0.19055276621342337</v>
      </c>
      <c r="AG7" s="481">
        <v>599685</v>
      </c>
      <c r="AH7" s="481">
        <v>503703</v>
      </c>
      <c r="AI7" s="481">
        <v>569530</v>
      </c>
      <c r="AJ7" s="770">
        <v>511841</v>
      </c>
      <c r="AK7" s="769">
        <v>470407</v>
      </c>
      <c r="AL7" s="787"/>
      <c r="AM7" s="787"/>
      <c r="AN7" s="787"/>
      <c r="AO7" s="787"/>
      <c r="AP7" s="787"/>
      <c r="AQ7" s="787"/>
      <c r="AR7" s="787"/>
      <c r="AS7" s="787"/>
      <c r="AT7" s="787"/>
      <c r="AU7" s="787"/>
    </row>
    <row r="8" spans="1:47" s="749" customFormat="1" ht="12.75">
      <c r="A8" s="762" t="s">
        <v>17</v>
      </c>
      <c r="B8" s="763">
        <f t="shared" si="0"/>
        <v>-0.09852057626461658</v>
      </c>
      <c r="C8" s="352">
        <v>27908</v>
      </c>
      <c r="D8" s="352">
        <v>30958</v>
      </c>
      <c r="E8" s="352">
        <f>SUM(7129)+(9359*2)</f>
        <v>25847</v>
      </c>
      <c r="F8" s="737">
        <v>22807</v>
      </c>
      <c r="G8" s="738">
        <v>24997</v>
      </c>
      <c r="H8" s="764">
        <f t="shared" si="1"/>
        <v>0.3431178342037337</v>
      </c>
      <c r="I8" s="353">
        <v>22375</v>
      </c>
      <c r="J8" s="353">
        <v>16659</v>
      </c>
      <c r="K8" s="353">
        <f>SUM(4008)+(5024*2)</f>
        <v>14056</v>
      </c>
      <c r="L8" s="353">
        <v>11400</v>
      </c>
      <c r="M8" s="871">
        <v>12788</v>
      </c>
      <c r="N8" s="765">
        <f t="shared" si="2"/>
        <v>0.055988407501522564</v>
      </c>
      <c r="O8" s="766">
        <f>+C8+I8</f>
        <v>50283</v>
      </c>
      <c r="P8" s="766">
        <f t="shared" si="6"/>
        <v>47617</v>
      </c>
      <c r="Q8" s="766">
        <f t="shared" si="7"/>
        <v>39903</v>
      </c>
      <c r="R8" s="766">
        <f t="shared" si="8"/>
        <v>34207</v>
      </c>
      <c r="S8" s="766">
        <f t="shared" si="9"/>
        <v>37785</v>
      </c>
      <c r="T8" s="767">
        <f t="shared" si="3"/>
        <v>0.13742086919411053</v>
      </c>
      <c r="U8" s="329">
        <v>15991</v>
      </c>
      <c r="V8" s="329">
        <v>14059</v>
      </c>
      <c r="W8" s="329">
        <f>SUM(119+3846)+(327*2)+(3916*2)</f>
        <v>12451</v>
      </c>
      <c r="X8" s="329">
        <v>12260</v>
      </c>
      <c r="Y8" s="329">
        <v>13437</v>
      </c>
      <c r="Z8" s="768">
        <f t="shared" si="4"/>
        <v>0.07455087878591349</v>
      </c>
      <c r="AA8" s="121">
        <f>+O8+U8</f>
        <v>66274</v>
      </c>
      <c r="AB8" s="121">
        <f t="shared" si="10"/>
        <v>61676</v>
      </c>
      <c r="AC8" s="121">
        <f t="shared" si="11"/>
        <v>52354</v>
      </c>
      <c r="AD8" s="121">
        <f t="shared" si="12"/>
        <v>46467</v>
      </c>
      <c r="AE8" s="121">
        <f t="shared" si="13"/>
        <v>51222</v>
      </c>
      <c r="AF8" s="1076">
        <f t="shared" si="5"/>
        <v>0.05052156198610804</v>
      </c>
      <c r="AG8" s="481">
        <v>642021</v>
      </c>
      <c r="AH8" s="481">
        <v>611145</v>
      </c>
      <c r="AI8" s="481">
        <v>524053</v>
      </c>
      <c r="AJ8" s="770">
        <v>443401</v>
      </c>
      <c r="AK8" s="769">
        <v>504383</v>
      </c>
      <c r="AL8" s="787"/>
      <c r="AM8" s="787"/>
      <c r="AN8" s="787"/>
      <c r="AO8" s="787"/>
      <c r="AP8" s="787"/>
      <c r="AQ8" s="787"/>
      <c r="AR8" s="787"/>
      <c r="AS8" s="787"/>
      <c r="AT8" s="787"/>
      <c r="AU8" s="787"/>
    </row>
    <row r="9" spans="1:47" s="749" customFormat="1" ht="12.75">
      <c r="A9" s="762" t="s">
        <v>18</v>
      </c>
      <c r="B9" s="763">
        <f t="shared" si="0"/>
        <v>-0.13595185924060568</v>
      </c>
      <c r="C9" s="737">
        <v>26420</v>
      </c>
      <c r="D9" s="737">
        <v>30577</v>
      </c>
      <c r="E9" s="737">
        <f>SUM(7706)+(10177*2)</f>
        <v>28060</v>
      </c>
      <c r="F9" s="737">
        <v>26368</v>
      </c>
      <c r="G9" s="738">
        <v>20255</v>
      </c>
      <c r="H9" s="764">
        <f t="shared" si="1"/>
        <v>-0.002393999042400383</v>
      </c>
      <c r="I9" s="541">
        <v>18752</v>
      </c>
      <c r="J9" s="541">
        <v>18797</v>
      </c>
      <c r="K9" s="541">
        <f>SUM(3911)+(4981*2)</f>
        <v>13873</v>
      </c>
      <c r="L9" s="541">
        <v>13577</v>
      </c>
      <c r="M9" s="807">
        <v>10153</v>
      </c>
      <c r="N9" s="765">
        <f t="shared" si="2"/>
        <v>-0.08510552112447847</v>
      </c>
      <c r="O9" s="766">
        <f>+C9+I9</f>
        <v>45172</v>
      </c>
      <c r="P9" s="766">
        <f t="shared" si="6"/>
        <v>49374</v>
      </c>
      <c r="Q9" s="766">
        <f t="shared" si="7"/>
        <v>41933</v>
      </c>
      <c r="R9" s="766">
        <f t="shared" si="8"/>
        <v>39945</v>
      </c>
      <c r="S9" s="766">
        <f t="shared" si="9"/>
        <v>30408</v>
      </c>
      <c r="T9" s="767">
        <f t="shared" si="3"/>
        <v>-0.31283763277693477</v>
      </c>
      <c r="U9" s="542">
        <v>11321</v>
      </c>
      <c r="V9" s="328">
        <v>16475</v>
      </c>
      <c r="W9" s="328">
        <f>SUM(186+1741)+(371*2)+(5374*2)</f>
        <v>13417</v>
      </c>
      <c r="X9" s="328">
        <v>13578</v>
      </c>
      <c r="Y9" s="329">
        <v>13997</v>
      </c>
      <c r="Z9" s="768">
        <f t="shared" si="4"/>
        <v>-0.14208264362404896</v>
      </c>
      <c r="AA9" s="121">
        <f>+O9+U9</f>
        <v>56493</v>
      </c>
      <c r="AB9" s="121">
        <f t="shared" si="10"/>
        <v>65849</v>
      </c>
      <c r="AC9" s="121">
        <f t="shared" si="11"/>
        <v>55350</v>
      </c>
      <c r="AD9" s="121">
        <f t="shared" si="12"/>
        <v>53523</v>
      </c>
      <c r="AE9" s="121">
        <f t="shared" si="13"/>
        <v>44405</v>
      </c>
      <c r="AF9" s="1076">
        <f t="shared" si="5"/>
        <v>-0.1169535581541805</v>
      </c>
      <c r="AG9" s="770">
        <v>572094</v>
      </c>
      <c r="AH9" s="770">
        <v>647864</v>
      </c>
      <c r="AI9" s="770">
        <v>553616</v>
      </c>
      <c r="AJ9" s="770">
        <v>516303</v>
      </c>
      <c r="AK9" s="769">
        <v>408524</v>
      </c>
      <c r="AL9" s="787"/>
      <c r="AM9" s="787"/>
      <c r="AN9" s="787"/>
      <c r="AO9" s="787"/>
      <c r="AP9" s="787"/>
      <c r="AQ9" s="787"/>
      <c r="AR9" s="787"/>
      <c r="AS9" s="787"/>
      <c r="AT9" s="787"/>
      <c r="AU9" s="787"/>
    </row>
    <row r="10" spans="1:47" s="749" customFormat="1" ht="12.75">
      <c r="A10" s="762" t="s">
        <v>19</v>
      </c>
      <c r="B10" s="763">
        <f t="shared" si="0"/>
        <v>-0.05286416251690136</v>
      </c>
      <c r="C10" s="737">
        <v>28720</v>
      </c>
      <c r="D10" s="737">
        <v>30323</v>
      </c>
      <c r="E10" s="737">
        <f>SUM(7914)+(10249*2)</f>
        <v>28412</v>
      </c>
      <c r="F10" s="737">
        <v>26690</v>
      </c>
      <c r="G10" s="738">
        <v>26284</v>
      </c>
      <c r="H10" s="764">
        <f t="shared" si="1"/>
        <v>0.3062449712199047</v>
      </c>
      <c r="I10" s="541">
        <v>21105</v>
      </c>
      <c r="J10" s="541">
        <v>16157</v>
      </c>
      <c r="K10" s="541">
        <f>SUM(3681)+(5274*2)</f>
        <v>14229</v>
      </c>
      <c r="L10" s="541">
        <v>13420</v>
      </c>
      <c r="M10" s="807">
        <v>12282</v>
      </c>
      <c r="N10" s="765">
        <f t="shared" si="2"/>
        <v>0.07196643717728055</v>
      </c>
      <c r="O10" s="766">
        <f>+C10+I10</f>
        <v>49825</v>
      </c>
      <c r="P10" s="766">
        <f t="shared" si="6"/>
        <v>46480</v>
      </c>
      <c r="Q10" s="766">
        <f t="shared" si="7"/>
        <v>42641</v>
      </c>
      <c r="R10" s="766">
        <f t="shared" si="8"/>
        <v>40110</v>
      </c>
      <c r="S10" s="766">
        <f t="shared" si="9"/>
        <v>38566</v>
      </c>
      <c r="T10" s="767">
        <f t="shared" si="3"/>
        <v>-0.05821917808219178</v>
      </c>
      <c r="U10" s="542">
        <v>15400</v>
      </c>
      <c r="V10" s="328">
        <v>16352</v>
      </c>
      <c r="W10" s="328">
        <f>SUM(190+4807)+(276*2)+(5982*2)</f>
        <v>17513</v>
      </c>
      <c r="X10" s="328">
        <v>14665</v>
      </c>
      <c r="Y10" s="328">
        <v>14148</v>
      </c>
      <c r="Z10" s="768">
        <f t="shared" si="4"/>
        <v>0.03808568882098294</v>
      </c>
      <c r="AA10" s="121">
        <f>+O10+U10</f>
        <v>65225</v>
      </c>
      <c r="AB10" s="121">
        <f t="shared" si="10"/>
        <v>62832</v>
      </c>
      <c r="AC10" s="121">
        <f t="shared" si="11"/>
        <v>60154</v>
      </c>
      <c r="AD10" s="121">
        <f t="shared" si="12"/>
        <v>54775</v>
      </c>
      <c r="AE10" s="121">
        <f t="shared" si="13"/>
        <v>52714</v>
      </c>
      <c r="AF10" s="1076"/>
      <c r="AG10" s="770"/>
      <c r="AH10" s="770">
        <v>605868</v>
      </c>
      <c r="AI10" s="770">
        <v>567068</v>
      </c>
      <c r="AJ10" s="770">
        <v>538985</v>
      </c>
      <c r="AK10" s="769">
        <v>489526.6</v>
      </c>
      <c r="AL10" s="787"/>
      <c r="AM10" s="787"/>
      <c r="AN10" s="787"/>
      <c r="AO10" s="787"/>
      <c r="AP10" s="787"/>
      <c r="AQ10" s="787"/>
      <c r="AR10" s="787"/>
      <c r="AS10" s="787"/>
      <c r="AT10" s="787"/>
      <c r="AU10" s="787"/>
    </row>
    <row r="11" spans="1:47" s="749" customFormat="1" ht="12.75">
      <c r="A11" s="762" t="s">
        <v>20</v>
      </c>
      <c r="B11" s="763"/>
      <c r="C11" s="737"/>
      <c r="D11" s="737">
        <v>30444</v>
      </c>
      <c r="E11" s="737">
        <f>SUM(7994)+(10540*2)</f>
        <v>29074</v>
      </c>
      <c r="F11" s="737">
        <v>26884</v>
      </c>
      <c r="G11" s="738">
        <v>24556</v>
      </c>
      <c r="H11" s="764"/>
      <c r="I11" s="541"/>
      <c r="J11" s="541">
        <v>17796</v>
      </c>
      <c r="K11" s="541">
        <f>SUM(3895)+(5484*2)</f>
        <v>14863</v>
      </c>
      <c r="L11" s="541">
        <v>12283</v>
      </c>
      <c r="M11" s="807">
        <v>11373</v>
      </c>
      <c r="N11" s="765"/>
      <c r="O11" s="766"/>
      <c r="P11" s="766">
        <f t="shared" si="6"/>
        <v>48240</v>
      </c>
      <c r="Q11" s="766">
        <f t="shared" si="7"/>
        <v>43937</v>
      </c>
      <c r="R11" s="766">
        <f t="shared" si="8"/>
        <v>39167</v>
      </c>
      <c r="S11" s="766">
        <f t="shared" si="9"/>
        <v>35929</v>
      </c>
      <c r="T11" s="767"/>
      <c r="U11" s="542"/>
      <c r="V11" s="328">
        <v>16794</v>
      </c>
      <c r="W11" s="328">
        <f>SUM(150+5023)+(349*2)+4344*2</f>
        <v>14559</v>
      </c>
      <c r="X11" s="328">
        <v>12690</v>
      </c>
      <c r="Y11" s="328">
        <v>14413</v>
      </c>
      <c r="Z11" s="768"/>
      <c r="AA11" s="121"/>
      <c r="AB11" s="121">
        <f t="shared" si="10"/>
        <v>65034</v>
      </c>
      <c r="AC11" s="121">
        <f t="shared" si="11"/>
        <v>58496</v>
      </c>
      <c r="AD11" s="121">
        <f t="shared" si="12"/>
        <v>51857</v>
      </c>
      <c r="AE11" s="121">
        <f t="shared" si="13"/>
        <v>50342</v>
      </c>
      <c r="AF11" s="1076"/>
      <c r="AG11" s="770"/>
      <c r="AH11" s="770">
        <v>593560</v>
      </c>
      <c r="AI11" s="770">
        <v>575154</v>
      </c>
      <c r="AJ11" s="770">
        <v>504388</v>
      </c>
      <c r="AK11" s="769">
        <v>472649.5</v>
      </c>
      <c r="AL11" s="787"/>
      <c r="AM11" s="787"/>
      <c r="AN11" s="787"/>
      <c r="AO11" s="787"/>
      <c r="AP11" s="787"/>
      <c r="AQ11" s="787"/>
      <c r="AR11" s="787"/>
      <c r="AS11" s="787"/>
      <c r="AT11" s="787"/>
      <c r="AU11" s="787"/>
    </row>
    <row r="12" spans="1:47" s="749" customFormat="1" ht="12.75">
      <c r="A12" s="762" t="s">
        <v>21</v>
      </c>
      <c r="B12" s="763"/>
      <c r="C12" s="737"/>
      <c r="D12" s="737">
        <v>33647</v>
      </c>
      <c r="E12" s="737">
        <f>SUM(8862)+(11526*2)</f>
        <v>31914</v>
      </c>
      <c r="F12" s="737">
        <v>26162</v>
      </c>
      <c r="G12" s="738">
        <v>24792</v>
      </c>
      <c r="H12" s="764"/>
      <c r="I12" s="541"/>
      <c r="J12" s="541">
        <v>18456</v>
      </c>
      <c r="K12" s="541">
        <f>SUM(4683)+(6780*2)</f>
        <v>18243</v>
      </c>
      <c r="L12" s="541">
        <v>12432</v>
      </c>
      <c r="M12" s="807">
        <v>10752</v>
      </c>
      <c r="N12" s="765"/>
      <c r="O12" s="766"/>
      <c r="P12" s="766">
        <f t="shared" si="6"/>
        <v>52103</v>
      </c>
      <c r="Q12" s="766">
        <f t="shared" si="7"/>
        <v>50157</v>
      </c>
      <c r="R12" s="766">
        <f t="shared" si="8"/>
        <v>38594</v>
      </c>
      <c r="S12" s="766">
        <f t="shared" si="9"/>
        <v>35544</v>
      </c>
      <c r="T12" s="767"/>
      <c r="U12" s="542"/>
      <c r="V12" s="328">
        <v>19660</v>
      </c>
      <c r="W12" s="328">
        <f>SUM(90+4268)+(571*2)+(6017*2)</f>
        <v>17534</v>
      </c>
      <c r="X12" s="328">
        <v>13744</v>
      </c>
      <c r="Y12" s="328">
        <v>13455</v>
      </c>
      <c r="Z12" s="768"/>
      <c r="AA12" s="121"/>
      <c r="AB12" s="121">
        <f t="shared" si="10"/>
        <v>71763</v>
      </c>
      <c r="AC12" s="121">
        <f t="shared" si="11"/>
        <v>67691</v>
      </c>
      <c r="AD12" s="121">
        <f t="shared" si="12"/>
        <v>52338</v>
      </c>
      <c r="AE12" s="121">
        <f t="shared" si="13"/>
        <v>48999</v>
      </c>
      <c r="AF12" s="1076"/>
      <c r="AG12" s="770"/>
      <c r="AH12" s="770">
        <v>687798</v>
      </c>
      <c r="AI12" s="770">
        <v>658015</v>
      </c>
      <c r="AJ12" s="770">
        <v>503871</v>
      </c>
      <c r="AK12" s="769">
        <v>461872.2</v>
      </c>
      <c r="AL12" s="787"/>
      <c r="AM12" s="787"/>
      <c r="AN12" s="787"/>
      <c r="AO12" s="787"/>
      <c r="AP12" s="787"/>
      <c r="AQ12" s="787"/>
      <c r="AR12" s="787"/>
      <c r="AS12" s="787"/>
      <c r="AT12" s="787"/>
      <c r="AU12" s="787"/>
    </row>
    <row r="13" spans="1:47" s="749" customFormat="1" ht="12.75">
      <c r="A13" s="762" t="s">
        <v>22</v>
      </c>
      <c r="B13" s="763"/>
      <c r="C13" s="737"/>
      <c r="D13" s="737">
        <v>29920</v>
      </c>
      <c r="E13" s="737">
        <f>SUM(7316)+(10147*2)</f>
        <v>27610</v>
      </c>
      <c r="F13" s="737">
        <v>27114</v>
      </c>
      <c r="G13" s="738">
        <v>26063</v>
      </c>
      <c r="H13" s="764"/>
      <c r="I13" s="541"/>
      <c r="J13" s="541">
        <v>16002</v>
      </c>
      <c r="K13" s="541">
        <f>SUM(3411)+(6257*2)</f>
        <v>15925</v>
      </c>
      <c r="L13" s="541">
        <v>12532</v>
      </c>
      <c r="M13" s="807">
        <v>11648</v>
      </c>
      <c r="N13" s="765"/>
      <c r="O13" s="766"/>
      <c r="P13" s="766">
        <f t="shared" si="6"/>
        <v>45922</v>
      </c>
      <c r="Q13" s="766">
        <f t="shared" si="7"/>
        <v>43535</v>
      </c>
      <c r="R13" s="766">
        <f t="shared" si="8"/>
        <v>39646</v>
      </c>
      <c r="S13" s="766">
        <f t="shared" si="9"/>
        <v>37711</v>
      </c>
      <c r="T13" s="767"/>
      <c r="U13" s="542"/>
      <c r="V13" s="328">
        <v>17051</v>
      </c>
      <c r="W13" s="328">
        <f>SUM(117+3607)+(363*2)+(4137*2)</f>
        <v>12724</v>
      </c>
      <c r="X13" s="328">
        <v>14471</v>
      </c>
      <c r="Y13" s="328">
        <v>15434</v>
      </c>
      <c r="Z13" s="768"/>
      <c r="AA13" s="121"/>
      <c r="AB13" s="121">
        <f t="shared" si="10"/>
        <v>62973</v>
      </c>
      <c r="AC13" s="121">
        <f t="shared" si="11"/>
        <v>56259</v>
      </c>
      <c r="AD13" s="121">
        <f t="shared" si="12"/>
        <v>54117</v>
      </c>
      <c r="AE13" s="121">
        <f t="shared" si="13"/>
        <v>53145</v>
      </c>
      <c r="AF13" s="1076"/>
      <c r="AG13" s="770"/>
      <c r="AH13" s="770">
        <v>599279</v>
      </c>
      <c r="AI13" s="770">
        <v>558774</v>
      </c>
      <c r="AJ13" s="770">
        <v>510940</v>
      </c>
      <c r="AK13" s="769">
        <v>495562.9</v>
      </c>
      <c r="AL13" s="787"/>
      <c r="AM13" s="787"/>
      <c r="AN13" s="787"/>
      <c r="AO13" s="787"/>
      <c r="AP13" s="787"/>
      <c r="AQ13" s="787"/>
      <c r="AR13" s="787"/>
      <c r="AS13" s="787"/>
      <c r="AT13" s="787"/>
      <c r="AU13" s="787"/>
    </row>
    <row r="14" spans="1:47" s="749" customFormat="1" ht="12.75">
      <c r="A14" s="762" t="s">
        <v>23</v>
      </c>
      <c r="B14" s="763"/>
      <c r="C14" s="352"/>
      <c r="D14" s="352">
        <v>31446</v>
      </c>
      <c r="E14" s="352">
        <f>SUM(8069)+(10174*2)</f>
        <v>28417</v>
      </c>
      <c r="F14" s="737">
        <v>27946</v>
      </c>
      <c r="G14" s="738">
        <v>26309</v>
      </c>
      <c r="H14" s="764"/>
      <c r="I14" s="353"/>
      <c r="J14" s="353">
        <v>15830</v>
      </c>
      <c r="K14" s="353">
        <f>SUM(3498)+(5227*2)</f>
        <v>13952</v>
      </c>
      <c r="L14" s="541">
        <v>13421</v>
      </c>
      <c r="M14" s="807">
        <v>11298</v>
      </c>
      <c r="N14" s="765"/>
      <c r="O14" s="766"/>
      <c r="P14" s="766">
        <f t="shared" si="6"/>
        <v>47276</v>
      </c>
      <c r="Q14" s="766">
        <f t="shared" si="7"/>
        <v>42369</v>
      </c>
      <c r="R14" s="766">
        <f t="shared" si="8"/>
        <v>41367</v>
      </c>
      <c r="S14" s="766">
        <f t="shared" si="9"/>
        <v>37607</v>
      </c>
      <c r="T14" s="767"/>
      <c r="U14" s="329"/>
      <c r="V14" s="329">
        <v>17980</v>
      </c>
      <c r="W14" s="329">
        <f>SUM(198+3594)+(228*2)+(5779*2)</f>
        <v>15806</v>
      </c>
      <c r="X14" s="328">
        <v>15702</v>
      </c>
      <c r="Y14" s="328">
        <v>16219</v>
      </c>
      <c r="Z14" s="768"/>
      <c r="AA14" s="121"/>
      <c r="AB14" s="121">
        <f t="shared" si="10"/>
        <v>65256</v>
      </c>
      <c r="AC14" s="121">
        <f t="shared" si="11"/>
        <v>58175</v>
      </c>
      <c r="AD14" s="121">
        <f t="shared" si="12"/>
        <v>57069</v>
      </c>
      <c r="AE14" s="121">
        <f t="shared" si="13"/>
        <v>53826</v>
      </c>
      <c r="AF14" s="1076"/>
      <c r="AG14" s="770"/>
      <c r="AH14" s="770">
        <v>623762</v>
      </c>
      <c r="AI14" s="770">
        <v>561129</v>
      </c>
      <c r="AJ14" s="770">
        <v>553029</v>
      </c>
      <c r="AK14" s="769">
        <v>506346.9</v>
      </c>
      <c r="AL14" s="787"/>
      <c r="AM14" s="787"/>
      <c r="AN14" s="787"/>
      <c r="AO14" s="787"/>
      <c r="AP14" s="787"/>
      <c r="AQ14" s="787"/>
      <c r="AR14" s="787"/>
      <c r="AS14" s="787"/>
      <c r="AT14" s="787"/>
      <c r="AU14" s="787"/>
    </row>
    <row r="15" spans="1:47" s="749" customFormat="1" ht="13.5" thickBot="1">
      <c r="A15" s="771" t="s">
        <v>24</v>
      </c>
      <c r="B15" s="772"/>
      <c r="C15" s="387"/>
      <c r="D15" s="387">
        <v>25472</v>
      </c>
      <c r="E15" s="387">
        <f>SUM(7485)+(10337*2)</f>
        <v>28159</v>
      </c>
      <c r="F15" s="773">
        <v>27189</v>
      </c>
      <c r="G15" s="1360">
        <v>24238</v>
      </c>
      <c r="H15" s="774"/>
      <c r="I15" s="385"/>
      <c r="J15" s="385">
        <v>15393</v>
      </c>
      <c r="K15" s="385">
        <f>SUM(3853)+(5627*2)</f>
        <v>15107</v>
      </c>
      <c r="L15" s="545">
        <v>12046</v>
      </c>
      <c r="M15" s="808">
        <v>11680</v>
      </c>
      <c r="N15" s="775"/>
      <c r="O15" s="776"/>
      <c r="P15" s="776">
        <f t="shared" si="6"/>
        <v>40865</v>
      </c>
      <c r="Q15" s="776">
        <f t="shared" si="7"/>
        <v>43266</v>
      </c>
      <c r="R15" s="776">
        <f t="shared" si="8"/>
        <v>39235</v>
      </c>
      <c r="S15" s="776">
        <f t="shared" si="9"/>
        <v>35918</v>
      </c>
      <c r="T15" s="777"/>
      <c r="U15" s="955"/>
      <c r="V15" s="133">
        <v>16126</v>
      </c>
      <c r="W15" s="133">
        <f>SUM(204+4458)+(325*2)+(5668*2)</f>
        <v>16648</v>
      </c>
      <c r="X15" s="553">
        <v>16998</v>
      </c>
      <c r="Y15" s="553">
        <v>14346</v>
      </c>
      <c r="Z15" s="874"/>
      <c r="AA15" s="124"/>
      <c r="AB15" s="124">
        <f t="shared" si="10"/>
        <v>56991</v>
      </c>
      <c r="AC15" s="124">
        <f t="shared" si="11"/>
        <v>59914</v>
      </c>
      <c r="AD15" s="124">
        <f t="shared" si="12"/>
        <v>56233</v>
      </c>
      <c r="AE15" s="124">
        <f t="shared" si="13"/>
        <v>50264</v>
      </c>
      <c r="AF15" s="1361"/>
      <c r="AG15" s="779"/>
      <c r="AH15" s="779">
        <v>535685</v>
      </c>
      <c r="AI15" s="779">
        <v>570623</v>
      </c>
      <c r="AJ15" s="779">
        <v>520285</v>
      </c>
      <c r="AK15" s="780">
        <v>465935.8</v>
      </c>
      <c r="AL15" s="787"/>
      <c r="AM15" s="787"/>
      <c r="AN15" s="787"/>
      <c r="AO15" s="787"/>
      <c r="AP15" s="787"/>
      <c r="AQ15" s="787"/>
      <c r="AR15" s="787"/>
      <c r="AS15" s="787"/>
      <c r="AT15" s="787"/>
      <c r="AU15" s="787"/>
    </row>
    <row r="16" spans="1:47" s="547" customFormat="1" ht="11.25">
      <c r="A16" s="781" t="s">
        <v>25</v>
      </c>
      <c r="B16" s="875">
        <f>SUM(C16-D16)/D16</f>
        <v>-0.03592480278554122</v>
      </c>
      <c r="C16" s="782">
        <f aca="true" t="shared" si="14" ref="C16:M16">SUM(C4:C10)</f>
        <v>186617</v>
      </c>
      <c r="D16" s="782">
        <f t="shared" si="14"/>
        <v>193571</v>
      </c>
      <c r="E16" s="782">
        <f t="shared" si="14"/>
        <v>185257</v>
      </c>
      <c r="F16" s="782">
        <f t="shared" si="14"/>
        <v>170516</v>
      </c>
      <c r="G16" s="782">
        <f t="shared" si="14"/>
        <v>160784</v>
      </c>
      <c r="H16" s="875">
        <f>SUM(I16-J16)/J16</f>
        <v>0.17286919206865936</v>
      </c>
      <c r="I16" s="782">
        <f t="shared" si="14"/>
        <v>126820</v>
      </c>
      <c r="J16" s="782">
        <f t="shared" si="14"/>
        <v>108128</v>
      </c>
      <c r="K16" s="782">
        <f t="shared" si="14"/>
        <v>94879</v>
      </c>
      <c r="L16" s="782">
        <f t="shared" si="14"/>
        <v>83812</v>
      </c>
      <c r="M16" s="782">
        <f t="shared" si="14"/>
        <v>76611</v>
      </c>
      <c r="N16" s="875">
        <f>SUM(O16-P16)/P16</f>
        <v>0.03890632716714341</v>
      </c>
      <c r="O16" s="876">
        <f>+C16+I16</f>
        <v>313437</v>
      </c>
      <c r="P16" s="876">
        <f t="shared" si="6"/>
        <v>301699</v>
      </c>
      <c r="Q16" s="876">
        <f t="shared" si="7"/>
        <v>280136</v>
      </c>
      <c r="R16" s="876">
        <f t="shared" si="8"/>
        <v>254328</v>
      </c>
      <c r="S16" s="1105">
        <f t="shared" si="9"/>
        <v>237395</v>
      </c>
      <c r="T16" s="875">
        <f>SUM(U16-V16)/V16</f>
        <v>-0.07241599614818381</v>
      </c>
      <c r="U16" s="782">
        <f>SUM(U4:U10)</f>
        <v>100180</v>
      </c>
      <c r="V16" s="782">
        <f>SUM(V4:V10)</f>
        <v>108001</v>
      </c>
      <c r="W16" s="782">
        <f>SUM(W4:W10)</f>
        <v>94201</v>
      </c>
      <c r="X16" s="782">
        <f>SUM(X4:X10)</f>
        <v>94916</v>
      </c>
      <c r="Y16" s="782">
        <f>SUM(Y4:Y10)</f>
        <v>97765</v>
      </c>
      <c r="Z16" s="875">
        <f>SUM(AA16-AB16)/AB16</f>
        <v>0.009560654137173542</v>
      </c>
      <c r="AA16" s="399">
        <f>+O16+U16</f>
        <v>413617</v>
      </c>
      <c r="AB16" s="399">
        <f t="shared" si="10"/>
        <v>409700</v>
      </c>
      <c r="AC16" s="399">
        <f t="shared" si="11"/>
        <v>374337</v>
      </c>
      <c r="AD16" s="399">
        <f t="shared" si="12"/>
        <v>349244</v>
      </c>
      <c r="AE16" s="399">
        <f t="shared" si="13"/>
        <v>335160</v>
      </c>
      <c r="AF16" s="875">
        <f>SUM(AG16-AH16)/AH16</f>
        <v>0.004928684443722598</v>
      </c>
      <c r="AG16" s="782">
        <f>SUM(AG4:AG9)</f>
        <v>3378318</v>
      </c>
      <c r="AH16" s="782">
        <f>SUM(AH4:AH9)</f>
        <v>3361749</v>
      </c>
      <c r="AI16" s="782">
        <f>SUM(AI4:AI9)</f>
        <v>3106485</v>
      </c>
      <c r="AJ16" s="782">
        <f>SUM(AJ4:AJ9)</f>
        <v>2803636</v>
      </c>
      <c r="AK16" s="782">
        <f>SUM(AK4:AK9)</f>
        <v>2670699</v>
      </c>
      <c r="AL16" s="534"/>
      <c r="AM16" s="534"/>
      <c r="AN16" s="534"/>
      <c r="AO16" s="534"/>
      <c r="AP16" s="534"/>
      <c r="AQ16" s="534"/>
      <c r="AR16" s="534"/>
      <c r="AS16" s="534"/>
      <c r="AT16" s="534"/>
      <c r="AU16" s="534"/>
    </row>
    <row r="17" spans="1:47" s="547" customFormat="1" ht="12" thickBot="1">
      <c r="A17" s="784" t="s">
        <v>28</v>
      </c>
      <c r="B17" s="878">
        <f>SUM(C17-D17)/D17</f>
        <v>-0.07136471076093717</v>
      </c>
      <c r="C17" s="785">
        <f>AVERAGE(C4:C15)</f>
        <v>26659.571428571428</v>
      </c>
      <c r="D17" s="785">
        <f>AVERAGE(D4:D15)</f>
        <v>28708.333333333332</v>
      </c>
      <c r="E17" s="785">
        <f>AVERAGE(E4:E15)</f>
        <v>27535.916666666668</v>
      </c>
      <c r="F17" s="785">
        <f>AVERAGE(F4:F15)</f>
        <v>25484.25</v>
      </c>
      <c r="G17" s="785">
        <f>AVERAGE(G4:G15)</f>
        <v>23895.166666666668</v>
      </c>
      <c r="H17" s="878">
        <f>SUM(I17-J17)/J17</f>
        <v>0.13465574638299782</v>
      </c>
      <c r="I17" s="785">
        <f>AVERAGE(I4:I15)</f>
        <v>18117.14285714286</v>
      </c>
      <c r="J17" s="785">
        <f>AVERAGE(J4:J15)</f>
        <v>15967.083333333334</v>
      </c>
      <c r="K17" s="785">
        <f>AVERAGE(K4:K15)</f>
        <v>14414.083333333334</v>
      </c>
      <c r="L17" s="785">
        <f>AVERAGE(L4:L15)</f>
        <v>12210.5</v>
      </c>
      <c r="M17" s="786">
        <f>AVERAGE(M4:M15)</f>
        <v>11113.5</v>
      </c>
      <c r="N17" s="878">
        <f>SUM(O17-P17)/P17</f>
        <v>0.0022674129668095247</v>
      </c>
      <c r="O17" s="785">
        <f>AVERAGE(O4:O15)</f>
        <v>44776.71428571428</v>
      </c>
      <c r="P17" s="785">
        <f>AVERAGE(P4:P15)</f>
        <v>44675.416666666664</v>
      </c>
      <c r="Q17" s="785">
        <f>AVERAGE(Q4:Q15)</f>
        <v>41950</v>
      </c>
      <c r="R17" s="785">
        <f>AVERAGE(R4:R15)</f>
        <v>37694.75</v>
      </c>
      <c r="S17" s="786">
        <f>AVERAGE(S4:S15)</f>
        <v>35008.666666666664</v>
      </c>
      <c r="T17" s="878">
        <f>SUM(U17-V17)/V17</f>
        <v>-0.12205210898542601</v>
      </c>
      <c r="U17" s="785">
        <f>AVERAGE(U4:U15)</f>
        <v>14311.42857142857</v>
      </c>
      <c r="V17" s="785">
        <f>AVERAGE(V4:V15)</f>
        <v>16301</v>
      </c>
      <c r="W17" s="785">
        <f>AVERAGE(W4:W15)</f>
        <v>14289.333333333334</v>
      </c>
      <c r="X17" s="785">
        <f>AVERAGE(X4:X15)</f>
        <v>14043.416666666666</v>
      </c>
      <c r="Y17" s="786">
        <f>AVERAGE(Y4:Y15)</f>
        <v>14302.666666666666</v>
      </c>
      <c r="Z17" s="878">
        <f>SUM(AA17-AB17)/AB17</f>
        <v>-0.03096728067584286</v>
      </c>
      <c r="AA17" s="785">
        <f>AVERAGE(AA4:AA15)</f>
        <v>59088.142857142855</v>
      </c>
      <c r="AB17" s="785">
        <f>AVERAGE(AB4:AB15)</f>
        <v>60976.416666666664</v>
      </c>
      <c r="AC17" s="785">
        <f>AVERAGE(AC4:AC15)</f>
        <v>56239.333333333336</v>
      </c>
      <c r="AD17" s="785">
        <f>AVERAGE(AD4:AD15)</f>
        <v>51738.166666666664</v>
      </c>
      <c r="AE17" s="786">
        <f>AVERAGE(AE4:AE15)</f>
        <v>49311.333333333336</v>
      </c>
      <c r="AF17" s="878">
        <f>SUM(AG17-AH17)/AH17</f>
        <v>-0.03582701373817183</v>
      </c>
      <c r="AG17" s="785">
        <f>AVERAGE(AG4:AG15)</f>
        <v>563053</v>
      </c>
      <c r="AH17" s="785">
        <f>AVERAGE(AH4:AH15)</f>
        <v>583975.0833333334</v>
      </c>
      <c r="AI17" s="785">
        <f>AVERAGE(AI4:AI15)</f>
        <v>549770.6666666666</v>
      </c>
      <c r="AJ17" s="785">
        <f>AVERAGE(AJ4:AJ15)</f>
        <v>494594.5</v>
      </c>
      <c r="AK17" s="786">
        <f>AVERAGE(AK4:AK15)</f>
        <v>463549.4083333334</v>
      </c>
      <c r="AL17" s="534"/>
      <c r="AM17" s="534"/>
      <c r="AN17" s="534"/>
      <c r="AO17" s="534"/>
      <c r="AP17" s="534"/>
      <c r="AQ17" s="534"/>
      <c r="AR17" s="534"/>
      <c r="AS17" s="534"/>
      <c r="AT17" s="534"/>
      <c r="AU17" s="534"/>
    </row>
    <row r="18" s="618" customFormat="1" ht="11.25"/>
    <row r="19" spans="3:34" ht="12.75">
      <c r="C19" s="618">
        <v>186617</v>
      </c>
      <c r="D19" s="618">
        <v>193571</v>
      </c>
      <c r="I19" s="618">
        <v>126820</v>
      </c>
      <c r="J19" s="618">
        <v>108128</v>
      </c>
      <c r="U19" s="618">
        <v>100180</v>
      </c>
      <c r="V19" s="618">
        <v>108001</v>
      </c>
      <c r="AG19" s="618"/>
      <c r="AH19" s="618"/>
    </row>
    <row r="20" spans="3:34" ht="12.75">
      <c r="C20" s="618">
        <f>+C19-C16</f>
        <v>0</v>
      </c>
      <c r="D20" s="618">
        <f>+D19-D16</f>
        <v>0</v>
      </c>
      <c r="I20" s="618">
        <f>+I19-I16</f>
        <v>0</v>
      </c>
      <c r="J20" s="618">
        <f>+J19-J16</f>
        <v>0</v>
      </c>
      <c r="U20" s="618">
        <f>+U19-U16</f>
        <v>0</v>
      </c>
      <c r="V20" s="618">
        <f>+V19-V16</f>
        <v>0</v>
      </c>
      <c r="AG20" s="618"/>
      <c r="AH20" s="618"/>
    </row>
  </sheetData>
  <mergeCells count="9">
    <mergeCell ref="AF3:AK3"/>
    <mergeCell ref="A1:A2"/>
    <mergeCell ref="B3:G3"/>
    <mergeCell ref="H3:M3"/>
    <mergeCell ref="N3:S3"/>
    <mergeCell ref="T3:Y3"/>
    <mergeCell ref="Z3:AE3"/>
    <mergeCell ref="B1:E1"/>
    <mergeCell ref="AA1:AK1"/>
  </mergeCells>
  <printOptions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Q1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9" sqref="A19"/>
    </sheetView>
  </sheetViews>
  <sheetFormatPr defaultColWidth="9.140625" defaultRowHeight="12.75"/>
  <cols>
    <col min="1" max="1" width="17.00390625" style="0" customWidth="1"/>
    <col min="2" max="2" width="7.00390625" style="0" customWidth="1"/>
    <col min="3" max="6" width="6.57421875" style="0" customWidth="1"/>
    <col min="7" max="7" width="7.00390625" style="0" customWidth="1"/>
    <col min="8" max="11" width="6.57421875" style="0" customWidth="1"/>
    <col min="12" max="12" width="7.00390625" style="0" customWidth="1"/>
    <col min="13" max="16" width="6.57421875" style="0" customWidth="1"/>
    <col min="17" max="17" width="7.00390625" style="0" customWidth="1"/>
    <col min="18" max="21" width="6.57421875" style="0" customWidth="1"/>
    <col min="22" max="22" width="7.00390625" style="0" customWidth="1"/>
    <col min="23" max="26" width="7.421875" style="0" customWidth="1"/>
    <col min="27" max="43" width="9.140625" style="318" customWidth="1"/>
  </cols>
  <sheetData>
    <row r="1" spans="1:43" s="749" customFormat="1" ht="13.5" thickBot="1">
      <c r="A1" s="1901" t="s">
        <v>125</v>
      </c>
      <c r="B1" s="459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330"/>
      <c r="N1" s="330"/>
      <c r="O1" s="330"/>
      <c r="P1" s="330"/>
      <c r="Q1" s="271"/>
      <c r="R1" s="301"/>
      <c r="S1" s="301"/>
      <c r="T1" s="301"/>
      <c r="U1" s="301"/>
      <c r="V1" s="271"/>
      <c r="W1" s="244"/>
      <c r="X1" s="244"/>
      <c r="Y1" s="1911"/>
      <c r="Z1" s="1912"/>
      <c r="AA1" s="787"/>
      <c r="AB1" s="787"/>
      <c r="AC1" s="787"/>
      <c r="AD1" s="787"/>
      <c r="AE1" s="787"/>
      <c r="AF1" s="787"/>
      <c r="AG1" s="787"/>
      <c r="AH1" s="787"/>
      <c r="AI1" s="787"/>
      <c r="AJ1" s="787"/>
      <c r="AK1" s="787"/>
      <c r="AL1" s="787"/>
      <c r="AM1" s="787"/>
      <c r="AN1" s="787"/>
      <c r="AO1" s="787"/>
      <c r="AP1" s="787"/>
      <c r="AQ1" s="787"/>
    </row>
    <row r="2" spans="1:43" s="749" customFormat="1" ht="13.5" thickBot="1">
      <c r="A2" s="1902"/>
      <c r="B2" s="308" t="s">
        <v>44</v>
      </c>
      <c r="C2" s="304">
        <v>2008</v>
      </c>
      <c r="D2" s="304">
        <v>2007</v>
      </c>
      <c r="E2" s="304">
        <v>2006</v>
      </c>
      <c r="F2" s="1051">
        <v>2005</v>
      </c>
      <c r="G2" s="1259" t="s">
        <v>44</v>
      </c>
      <c r="H2" s="523">
        <v>2008</v>
      </c>
      <c r="I2" s="523">
        <v>2007</v>
      </c>
      <c r="J2" s="523">
        <v>2006</v>
      </c>
      <c r="K2" s="524">
        <v>2005</v>
      </c>
      <c r="L2" s="574" t="s">
        <v>44</v>
      </c>
      <c r="M2" s="177">
        <v>2008</v>
      </c>
      <c r="N2" s="177">
        <v>2007</v>
      </c>
      <c r="O2" s="177">
        <v>2006</v>
      </c>
      <c r="P2" s="178">
        <v>2005</v>
      </c>
      <c r="Q2" s="460" t="s">
        <v>44</v>
      </c>
      <c r="R2" s="130">
        <v>2008</v>
      </c>
      <c r="S2" s="130">
        <v>2007</v>
      </c>
      <c r="T2" s="130">
        <v>2006</v>
      </c>
      <c r="U2" s="130">
        <v>2005</v>
      </c>
      <c r="V2" s="307" t="s">
        <v>44</v>
      </c>
      <c r="W2" s="118">
        <v>2007</v>
      </c>
      <c r="X2" s="118">
        <v>2007</v>
      </c>
      <c r="Y2" s="118">
        <v>2006</v>
      </c>
      <c r="Z2" s="134">
        <v>2005</v>
      </c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787"/>
      <c r="AL2" s="787"/>
      <c r="AM2" s="787"/>
      <c r="AN2" s="787"/>
      <c r="AO2" s="787"/>
      <c r="AP2" s="787"/>
      <c r="AQ2" s="787"/>
    </row>
    <row r="3" spans="1:43" s="789" customFormat="1" ht="13.5" thickBot="1">
      <c r="A3" s="309"/>
      <c r="B3" s="2126" t="s">
        <v>100</v>
      </c>
      <c r="C3" s="2127"/>
      <c r="D3" s="2127"/>
      <c r="E3" s="2127"/>
      <c r="F3" s="2128"/>
      <c r="G3" s="1892" t="s">
        <v>69</v>
      </c>
      <c r="H3" s="1892"/>
      <c r="I3" s="1892"/>
      <c r="J3" s="1892"/>
      <c r="K3" s="2129"/>
      <c r="L3" s="1891" t="s">
        <v>71</v>
      </c>
      <c r="M3" s="1892"/>
      <c r="N3" s="1892"/>
      <c r="O3" s="1892"/>
      <c r="P3" s="2129"/>
      <c r="Q3" s="1890" t="s">
        <v>49</v>
      </c>
      <c r="R3" s="1896"/>
      <c r="S3" s="1896"/>
      <c r="T3" s="1896"/>
      <c r="U3" s="1879"/>
      <c r="V3" s="1890" t="s">
        <v>116</v>
      </c>
      <c r="W3" s="1896"/>
      <c r="X3" s="1896"/>
      <c r="Y3" s="1896"/>
      <c r="Z3" s="1879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</row>
    <row r="4" spans="1:43" s="749" customFormat="1" ht="12.75">
      <c r="A4" s="696" t="s">
        <v>13</v>
      </c>
      <c r="B4" s="751">
        <f aca="true" t="shared" si="0" ref="B4:B10">SUM(C4-D4)/D4</f>
        <v>0.1451866685738807</v>
      </c>
      <c r="C4" s="752">
        <v>8006</v>
      </c>
      <c r="D4" s="752">
        <v>6991</v>
      </c>
      <c r="E4" s="752">
        <v>5840</v>
      </c>
      <c r="F4" s="946">
        <v>3568</v>
      </c>
      <c r="G4" s="1254">
        <f aca="true" t="shared" si="1" ref="G4:G10">SUM(H4-I4)/I4</f>
        <v>-0.10169161967723118</v>
      </c>
      <c r="H4" s="1255">
        <v>4620</v>
      </c>
      <c r="I4" s="1255">
        <v>5143</v>
      </c>
      <c r="J4" s="1255">
        <v>3233</v>
      </c>
      <c r="K4" s="1260">
        <v>1422</v>
      </c>
      <c r="L4" s="756">
        <f aca="true" t="shared" si="2" ref="L4:L9">SUM(M4-N4)/N4</f>
        <v>0.04054722268007253</v>
      </c>
      <c r="M4" s="757">
        <f aca="true" t="shared" si="3" ref="M4:M9">+C4+H4</f>
        <v>12626</v>
      </c>
      <c r="N4" s="757">
        <f aca="true" t="shared" si="4" ref="N4:N15">+D4+I4</f>
        <v>12134</v>
      </c>
      <c r="O4" s="757">
        <f aca="true" t="shared" si="5" ref="O4:O15">+E4+J4</f>
        <v>9073</v>
      </c>
      <c r="P4" s="870">
        <f aca="true" t="shared" si="6" ref="P4:P15">+F4+K4</f>
        <v>4990</v>
      </c>
      <c r="Q4" s="1052">
        <f aca="true" t="shared" si="7" ref="Q4:Q10">SUM(R4-S4)/S4</f>
        <v>-0.24584187742082478</v>
      </c>
      <c r="R4" s="550">
        <v>3310</v>
      </c>
      <c r="S4" s="550">
        <v>4389</v>
      </c>
      <c r="T4" s="550">
        <v>3220</v>
      </c>
      <c r="U4" s="1084">
        <v>1990</v>
      </c>
      <c r="V4" s="759">
        <f aca="true" t="shared" si="8" ref="V4:V9">SUM(W4-X4)/X4</f>
        <v>-0.035526236155661806</v>
      </c>
      <c r="W4" s="197">
        <f>+M4+R4</f>
        <v>15936</v>
      </c>
      <c r="X4" s="197">
        <f>+N4+S4</f>
        <v>16523</v>
      </c>
      <c r="Y4" s="197">
        <f>+O4+T4</f>
        <v>12293</v>
      </c>
      <c r="Z4" s="198">
        <f aca="true" t="shared" si="9" ref="Z4:Z15">+P4+U4</f>
        <v>6980</v>
      </c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</row>
    <row r="5" spans="1:43" s="749" customFormat="1" ht="12.75">
      <c r="A5" s="539" t="s">
        <v>14</v>
      </c>
      <c r="B5" s="763">
        <f t="shared" si="0"/>
        <v>0.6742138364779874</v>
      </c>
      <c r="C5" s="352">
        <v>9317</v>
      </c>
      <c r="D5" s="352">
        <v>5565</v>
      </c>
      <c r="E5" s="352">
        <v>6737</v>
      </c>
      <c r="F5" s="828">
        <v>7218</v>
      </c>
      <c r="G5" s="1256">
        <f t="shared" si="1"/>
        <v>0.2861064189189189</v>
      </c>
      <c r="H5" s="1240">
        <v>6091</v>
      </c>
      <c r="I5" s="1240">
        <v>4736</v>
      </c>
      <c r="J5" s="1240">
        <v>3492</v>
      </c>
      <c r="K5" s="1261">
        <v>3410</v>
      </c>
      <c r="L5" s="765">
        <f t="shared" si="2"/>
        <v>0.4957771090185419</v>
      </c>
      <c r="M5" s="766">
        <f t="shared" si="3"/>
        <v>15408</v>
      </c>
      <c r="N5" s="766">
        <f t="shared" si="4"/>
        <v>10301</v>
      </c>
      <c r="O5" s="766">
        <f t="shared" si="5"/>
        <v>10229</v>
      </c>
      <c r="P5" s="872">
        <f t="shared" si="6"/>
        <v>10628</v>
      </c>
      <c r="Q5" s="1053">
        <f t="shared" si="7"/>
        <v>-0.17270861833105336</v>
      </c>
      <c r="R5" s="329">
        <v>2419</v>
      </c>
      <c r="S5" s="329">
        <v>2924</v>
      </c>
      <c r="T5" s="329">
        <v>2999</v>
      </c>
      <c r="U5" s="1085">
        <v>3916</v>
      </c>
      <c r="V5" s="768">
        <f t="shared" si="8"/>
        <v>0.3479773156899811</v>
      </c>
      <c r="W5" s="121">
        <f aca="true" t="shared" si="10" ref="W5:W10">+M5+R5</f>
        <v>17827</v>
      </c>
      <c r="X5" s="121">
        <f aca="true" t="shared" si="11" ref="X5:X10">+N5+S5</f>
        <v>13225</v>
      </c>
      <c r="Y5" s="121">
        <f aca="true" t="shared" si="12" ref="Y5:Y13">+O5+T5</f>
        <v>13228</v>
      </c>
      <c r="Z5" s="122">
        <f t="shared" si="9"/>
        <v>14544</v>
      </c>
      <c r="AA5" s="787"/>
      <c r="AB5" s="787"/>
      <c r="AC5" s="787"/>
      <c r="AD5" s="787"/>
      <c r="AE5" s="787"/>
      <c r="AF5" s="787"/>
      <c r="AG5" s="787"/>
      <c r="AH5" s="787"/>
      <c r="AI5" s="787"/>
      <c r="AJ5" s="787"/>
      <c r="AK5" s="787"/>
      <c r="AL5" s="787"/>
      <c r="AM5" s="787"/>
      <c r="AN5" s="787"/>
      <c r="AO5" s="787"/>
      <c r="AP5" s="787"/>
      <c r="AQ5" s="787"/>
    </row>
    <row r="6" spans="1:43" s="749" customFormat="1" ht="12.75">
      <c r="A6" s="539" t="s">
        <v>15</v>
      </c>
      <c r="B6" s="763">
        <f t="shared" si="0"/>
        <v>-0.013126491646778043</v>
      </c>
      <c r="C6" s="352">
        <v>5789</v>
      </c>
      <c r="D6" s="352">
        <v>5866</v>
      </c>
      <c r="E6" s="352">
        <v>6965</v>
      </c>
      <c r="F6" s="828">
        <v>4884</v>
      </c>
      <c r="G6" s="1256">
        <f t="shared" si="1"/>
        <v>-0.17276720351390923</v>
      </c>
      <c r="H6" s="1240">
        <v>5085</v>
      </c>
      <c r="I6" s="1240">
        <v>6147</v>
      </c>
      <c r="J6" s="1240">
        <v>4667</v>
      </c>
      <c r="K6" s="1261">
        <v>2684</v>
      </c>
      <c r="L6" s="765">
        <f t="shared" si="2"/>
        <v>-0.0948139515524848</v>
      </c>
      <c r="M6" s="766">
        <f t="shared" si="3"/>
        <v>10874</v>
      </c>
      <c r="N6" s="766">
        <f t="shared" si="4"/>
        <v>12013</v>
      </c>
      <c r="O6" s="766">
        <f t="shared" si="5"/>
        <v>11632</v>
      </c>
      <c r="P6" s="872">
        <f t="shared" si="6"/>
        <v>7568</v>
      </c>
      <c r="Q6" s="1053">
        <f t="shared" si="7"/>
        <v>-0.210711591651999</v>
      </c>
      <c r="R6" s="329">
        <v>3139</v>
      </c>
      <c r="S6" s="329">
        <v>3977</v>
      </c>
      <c r="T6" s="329">
        <v>4652</v>
      </c>
      <c r="U6" s="1085">
        <v>2362</v>
      </c>
      <c r="V6" s="768">
        <f t="shared" si="8"/>
        <v>-0.12363977485928705</v>
      </c>
      <c r="W6" s="121">
        <f t="shared" si="10"/>
        <v>14013</v>
      </c>
      <c r="X6" s="121">
        <f t="shared" si="11"/>
        <v>15990</v>
      </c>
      <c r="Y6" s="121">
        <f t="shared" si="12"/>
        <v>16284</v>
      </c>
      <c r="Z6" s="122">
        <f t="shared" si="9"/>
        <v>9930</v>
      </c>
      <c r="AA6" s="787"/>
      <c r="AB6" s="787"/>
      <c r="AC6" s="787"/>
      <c r="AD6" s="787"/>
      <c r="AE6" s="787"/>
      <c r="AF6" s="787"/>
      <c r="AG6" s="787"/>
      <c r="AH6" s="787"/>
      <c r="AI6" s="787"/>
      <c r="AJ6" s="787"/>
      <c r="AK6" s="787"/>
      <c r="AL6" s="787"/>
      <c r="AM6" s="787"/>
      <c r="AN6" s="787"/>
      <c r="AO6" s="787"/>
      <c r="AP6" s="787"/>
      <c r="AQ6" s="787"/>
    </row>
    <row r="7" spans="1:43" s="749" customFormat="1" ht="12.75">
      <c r="A7" s="539" t="s">
        <v>16</v>
      </c>
      <c r="B7" s="763">
        <f t="shared" si="0"/>
        <v>0.5009578544061303</v>
      </c>
      <c r="C7" s="352">
        <v>7835</v>
      </c>
      <c r="D7" s="352">
        <v>5220</v>
      </c>
      <c r="E7" s="352">
        <v>7148</v>
      </c>
      <c r="F7" s="828">
        <v>6174</v>
      </c>
      <c r="G7" s="1256">
        <f t="shared" si="1"/>
        <v>0.053719845935536185</v>
      </c>
      <c r="H7" s="1240">
        <v>5198</v>
      </c>
      <c r="I7" s="1240">
        <v>4933</v>
      </c>
      <c r="J7" s="1240">
        <v>4052</v>
      </c>
      <c r="K7" s="1261">
        <v>3201</v>
      </c>
      <c r="L7" s="765">
        <f t="shared" si="2"/>
        <v>0.28366000196986113</v>
      </c>
      <c r="M7" s="766">
        <f t="shared" si="3"/>
        <v>13033</v>
      </c>
      <c r="N7" s="766">
        <f t="shared" si="4"/>
        <v>10153</v>
      </c>
      <c r="O7" s="766">
        <f t="shared" si="5"/>
        <v>11200</v>
      </c>
      <c r="P7" s="872">
        <f t="shared" si="6"/>
        <v>9375</v>
      </c>
      <c r="Q7" s="1053">
        <f t="shared" si="7"/>
        <v>0.609357170026626</v>
      </c>
      <c r="R7" s="329">
        <v>4231</v>
      </c>
      <c r="S7" s="329">
        <v>2629</v>
      </c>
      <c r="T7" s="329">
        <v>4165</v>
      </c>
      <c r="U7" s="1085">
        <v>4008</v>
      </c>
      <c r="V7" s="768">
        <f t="shared" si="8"/>
        <v>0.35064935064935066</v>
      </c>
      <c r="W7" s="121">
        <f t="shared" si="10"/>
        <v>17264</v>
      </c>
      <c r="X7" s="121">
        <f t="shared" si="11"/>
        <v>12782</v>
      </c>
      <c r="Y7" s="121">
        <f t="shared" si="12"/>
        <v>15365</v>
      </c>
      <c r="Z7" s="122">
        <f t="shared" si="9"/>
        <v>13383</v>
      </c>
      <c r="AA7" s="787"/>
      <c r="AB7" s="787"/>
      <c r="AC7" s="787"/>
      <c r="AD7" s="787"/>
      <c r="AE7" s="787"/>
      <c r="AF7" s="787"/>
      <c r="AG7" s="787"/>
      <c r="AH7" s="787"/>
      <c r="AI7" s="787"/>
      <c r="AJ7" s="787"/>
      <c r="AK7" s="787"/>
      <c r="AL7" s="787"/>
      <c r="AM7" s="787"/>
      <c r="AN7" s="787"/>
      <c r="AO7" s="787"/>
      <c r="AP7" s="787"/>
      <c r="AQ7" s="787"/>
    </row>
    <row r="8" spans="1:43" s="749" customFormat="1" ht="12.75">
      <c r="A8" s="539" t="s">
        <v>17</v>
      </c>
      <c r="B8" s="763">
        <f t="shared" si="0"/>
        <v>0.7356076759061834</v>
      </c>
      <c r="C8" s="352">
        <v>8954</v>
      </c>
      <c r="D8" s="352">
        <v>5159</v>
      </c>
      <c r="E8" s="352">
        <v>6951</v>
      </c>
      <c r="F8" s="828">
        <v>5615</v>
      </c>
      <c r="G8" s="1256">
        <f t="shared" si="1"/>
        <v>0.32074328418501313</v>
      </c>
      <c r="H8" s="1240">
        <v>6539</v>
      </c>
      <c r="I8" s="1240">
        <v>4951</v>
      </c>
      <c r="J8" s="1240">
        <v>3543</v>
      </c>
      <c r="K8" s="1261">
        <v>2817</v>
      </c>
      <c r="L8" s="765">
        <f t="shared" si="2"/>
        <v>0.5324431256181998</v>
      </c>
      <c r="M8" s="766">
        <f t="shared" si="3"/>
        <v>15493</v>
      </c>
      <c r="N8" s="766">
        <f t="shared" si="4"/>
        <v>10110</v>
      </c>
      <c r="O8" s="766">
        <f t="shared" si="5"/>
        <v>10494</v>
      </c>
      <c r="P8" s="872">
        <f t="shared" si="6"/>
        <v>8432</v>
      </c>
      <c r="Q8" s="1053">
        <f t="shared" si="7"/>
        <v>1.330416881111683</v>
      </c>
      <c r="R8" s="329">
        <v>4528</v>
      </c>
      <c r="S8" s="329">
        <v>1943</v>
      </c>
      <c r="T8" s="329">
        <v>4154</v>
      </c>
      <c r="U8" s="1085">
        <v>4248</v>
      </c>
      <c r="V8" s="768">
        <f t="shared" si="8"/>
        <v>0.6610802289886335</v>
      </c>
      <c r="W8" s="121">
        <f t="shared" si="10"/>
        <v>20021</v>
      </c>
      <c r="X8" s="121">
        <f t="shared" si="11"/>
        <v>12053</v>
      </c>
      <c r="Y8" s="121">
        <f t="shared" si="12"/>
        <v>14648</v>
      </c>
      <c r="Z8" s="122">
        <f t="shared" si="9"/>
        <v>12680</v>
      </c>
      <c r="AA8" s="787"/>
      <c r="AB8" s="787"/>
      <c r="AC8" s="787"/>
      <c r="AD8" s="787"/>
      <c r="AE8" s="787"/>
      <c r="AF8" s="787"/>
      <c r="AG8" s="787"/>
      <c r="AH8" s="787"/>
      <c r="AI8" s="787"/>
      <c r="AJ8" s="787"/>
      <c r="AK8" s="787"/>
      <c r="AL8" s="787"/>
      <c r="AM8" s="787"/>
      <c r="AN8" s="787"/>
      <c r="AO8" s="787"/>
      <c r="AP8" s="787"/>
      <c r="AQ8" s="787"/>
    </row>
    <row r="9" spans="1:43" s="749" customFormat="1" ht="12.75">
      <c r="A9" s="539" t="s">
        <v>18</v>
      </c>
      <c r="B9" s="763">
        <f t="shared" si="0"/>
        <v>-0.07292954264524104</v>
      </c>
      <c r="C9" s="352">
        <v>6750</v>
      </c>
      <c r="D9" s="737">
        <v>7281</v>
      </c>
      <c r="E9" s="737">
        <v>8600</v>
      </c>
      <c r="F9" s="828">
        <v>6989</v>
      </c>
      <c r="G9" s="1256">
        <f t="shared" si="1"/>
        <v>-0.14891270091396155</v>
      </c>
      <c r="H9" s="1240">
        <v>5401</v>
      </c>
      <c r="I9" s="1239">
        <v>6346</v>
      </c>
      <c r="J9" s="1239">
        <v>5153</v>
      </c>
      <c r="K9" s="1262">
        <v>3387</v>
      </c>
      <c r="L9" s="765">
        <f t="shared" si="2"/>
        <v>-0.10831437587143172</v>
      </c>
      <c r="M9" s="766">
        <f t="shared" si="3"/>
        <v>12151</v>
      </c>
      <c r="N9" s="766">
        <f t="shared" si="4"/>
        <v>13627</v>
      </c>
      <c r="O9" s="766">
        <f t="shared" si="5"/>
        <v>13753</v>
      </c>
      <c r="P9" s="872">
        <f t="shared" si="6"/>
        <v>10376</v>
      </c>
      <c r="Q9" s="1053">
        <f t="shared" si="7"/>
        <v>0.34636634084147894</v>
      </c>
      <c r="R9" s="329">
        <v>3168</v>
      </c>
      <c r="S9" s="328">
        <v>2353</v>
      </c>
      <c r="T9" s="328">
        <v>5504</v>
      </c>
      <c r="U9" s="952">
        <v>5336</v>
      </c>
      <c r="V9" s="768">
        <f t="shared" si="8"/>
        <v>-0.04136420525657071</v>
      </c>
      <c r="W9" s="121">
        <f t="shared" si="10"/>
        <v>15319</v>
      </c>
      <c r="X9" s="121">
        <f t="shared" si="11"/>
        <v>15980</v>
      </c>
      <c r="Y9" s="121">
        <f t="shared" si="12"/>
        <v>19257</v>
      </c>
      <c r="Z9" s="122">
        <f t="shared" si="9"/>
        <v>15712</v>
      </c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</row>
    <row r="10" spans="1:43" s="749" customFormat="1" ht="12.75">
      <c r="A10" s="539" t="s">
        <v>19</v>
      </c>
      <c r="B10" s="763">
        <f t="shared" si="0"/>
        <v>-0.12031473533619456</v>
      </c>
      <c r="C10" s="352">
        <v>6149</v>
      </c>
      <c r="D10" s="737">
        <v>6990</v>
      </c>
      <c r="E10" s="737">
        <v>7533</v>
      </c>
      <c r="F10" s="828">
        <v>5390</v>
      </c>
      <c r="G10" s="1256">
        <f t="shared" si="1"/>
        <v>0.054455445544554455</v>
      </c>
      <c r="H10" s="1240">
        <v>4899</v>
      </c>
      <c r="I10" s="1239">
        <v>4646</v>
      </c>
      <c r="J10" s="1239">
        <v>3652</v>
      </c>
      <c r="K10" s="1262">
        <v>2571</v>
      </c>
      <c r="L10" s="765">
        <f>SUM(M10-N10)/N10</f>
        <v>-0.050532829150910966</v>
      </c>
      <c r="M10" s="766">
        <f>+C10+H10</f>
        <v>11048</v>
      </c>
      <c r="N10" s="766">
        <f t="shared" si="4"/>
        <v>11636</v>
      </c>
      <c r="O10" s="766">
        <f t="shared" si="5"/>
        <v>11185</v>
      </c>
      <c r="P10" s="872">
        <f t="shared" si="6"/>
        <v>7961</v>
      </c>
      <c r="Q10" s="1053">
        <f t="shared" si="7"/>
        <v>0.07450664518727346</v>
      </c>
      <c r="R10" s="329">
        <v>2668</v>
      </c>
      <c r="S10" s="328">
        <v>2483</v>
      </c>
      <c r="T10" s="328">
        <v>3800</v>
      </c>
      <c r="U10" s="952">
        <v>4494</v>
      </c>
      <c r="V10" s="768">
        <f>SUM(W10-X10)/X10</f>
        <v>-0.028543097953112828</v>
      </c>
      <c r="W10" s="121">
        <f t="shared" si="10"/>
        <v>13716</v>
      </c>
      <c r="X10" s="121">
        <f t="shared" si="11"/>
        <v>14119</v>
      </c>
      <c r="Y10" s="121">
        <f t="shared" si="12"/>
        <v>14985</v>
      </c>
      <c r="Z10" s="122">
        <f t="shared" si="9"/>
        <v>12455</v>
      </c>
      <c r="AA10" s="787"/>
      <c r="AB10" s="787"/>
      <c r="AC10" s="787"/>
      <c r="AD10" s="787"/>
      <c r="AE10" s="787"/>
      <c r="AF10" s="787"/>
      <c r="AG10" s="787"/>
      <c r="AH10" s="787"/>
      <c r="AI10" s="787"/>
      <c r="AJ10" s="787"/>
      <c r="AK10" s="787"/>
      <c r="AL10" s="787"/>
      <c r="AM10" s="787"/>
      <c r="AN10" s="787"/>
      <c r="AO10" s="787"/>
      <c r="AP10" s="787"/>
      <c r="AQ10" s="787"/>
    </row>
    <row r="11" spans="1:43" s="749" customFormat="1" ht="12.75">
      <c r="A11" s="539" t="s">
        <v>20</v>
      </c>
      <c r="B11" s="763"/>
      <c r="C11" s="737"/>
      <c r="D11" s="737">
        <v>9158</v>
      </c>
      <c r="E11" s="737">
        <v>6470</v>
      </c>
      <c r="F11" s="828">
        <v>7432</v>
      </c>
      <c r="G11" s="1256"/>
      <c r="H11" s="1239"/>
      <c r="I11" s="1239">
        <v>6039</v>
      </c>
      <c r="J11" s="1239">
        <v>4270</v>
      </c>
      <c r="K11" s="1262">
        <v>3310</v>
      </c>
      <c r="L11" s="765"/>
      <c r="M11" s="766"/>
      <c r="N11" s="766">
        <f t="shared" si="4"/>
        <v>15197</v>
      </c>
      <c r="O11" s="766">
        <f t="shared" si="5"/>
        <v>10740</v>
      </c>
      <c r="P11" s="872">
        <f t="shared" si="6"/>
        <v>10742</v>
      </c>
      <c r="Q11" s="1053"/>
      <c r="R11" s="328"/>
      <c r="S11" s="328">
        <v>3020</v>
      </c>
      <c r="T11" s="328">
        <v>4657</v>
      </c>
      <c r="U11" s="952">
        <v>4962</v>
      </c>
      <c r="V11" s="768"/>
      <c r="W11" s="121"/>
      <c r="X11" s="121">
        <f aca="true" t="shared" si="13" ref="W11:X16">+N11+S11</f>
        <v>18217</v>
      </c>
      <c r="Y11" s="121">
        <f t="shared" si="12"/>
        <v>15397</v>
      </c>
      <c r="Z11" s="122">
        <f t="shared" si="9"/>
        <v>15704</v>
      </c>
      <c r="AA11" s="787"/>
      <c r="AB11" s="787"/>
      <c r="AC11" s="787"/>
      <c r="AD11" s="787"/>
      <c r="AE11" s="787"/>
      <c r="AF11" s="787"/>
      <c r="AG11" s="787"/>
      <c r="AH11" s="787"/>
      <c r="AI11" s="787"/>
      <c r="AJ11" s="787"/>
      <c r="AK11" s="787"/>
      <c r="AL11" s="787"/>
      <c r="AM11" s="787"/>
      <c r="AN11" s="787"/>
      <c r="AO11" s="787"/>
      <c r="AP11" s="787"/>
      <c r="AQ11" s="787"/>
    </row>
    <row r="12" spans="1:43" s="749" customFormat="1" ht="12.75">
      <c r="A12" s="539" t="s">
        <v>21</v>
      </c>
      <c r="B12" s="763"/>
      <c r="C12" s="737"/>
      <c r="D12" s="737">
        <v>7191</v>
      </c>
      <c r="E12" s="737">
        <v>7249</v>
      </c>
      <c r="F12" s="828">
        <v>5006</v>
      </c>
      <c r="G12" s="1256"/>
      <c r="H12" s="1239"/>
      <c r="I12" s="1239">
        <v>4820</v>
      </c>
      <c r="J12" s="1239">
        <v>4898</v>
      </c>
      <c r="K12" s="1262">
        <v>2723</v>
      </c>
      <c r="L12" s="765"/>
      <c r="M12" s="766"/>
      <c r="N12" s="766">
        <f t="shared" si="4"/>
        <v>12011</v>
      </c>
      <c r="O12" s="766">
        <f t="shared" si="5"/>
        <v>12147</v>
      </c>
      <c r="P12" s="872">
        <f t="shared" si="6"/>
        <v>7729</v>
      </c>
      <c r="Q12" s="1053"/>
      <c r="R12" s="328"/>
      <c r="S12" s="328">
        <v>3417</v>
      </c>
      <c r="T12" s="328">
        <v>3980</v>
      </c>
      <c r="U12" s="952">
        <v>3368</v>
      </c>
      <c r="V12" s="768"/>
      <c r="W12" s="121"/>
      <c r="X12" s="121">
        <f t="shared" si="13"/>
        <v>15428</v>
      </c>
      <c r="Y12" s="121">
        <f t="shared" si="12"/>
        <v>16127</v>
      </c>
      <c r="Z12" s="122">
        <f t="shared" si="9"/>
        <v>11097</v>
      </c>
      <c r="AA12" s="787"/>
      <c r="AB12" s="787"/>
      <c r="AC12" s="787"/>
      <c r="AD12" s="787"/>
      <c r="AE12" s="787"/>
      <c r="AF12" s="787"/>
      <c r="AG12" s="787"/>
      <c r="AH12" s="787"/>
      <c r="AI12" s="787"/>
      <c r="AJ12" s="787"/>
      <c r="AK12" s="787"/>
      <c r="AL12" s="787"/>
      <c r="AM12" s="787"/>
      <c r="AN12" s="787"/>
      <c r="AO12" s="787"/>
      <c r="AP12" s="787"/>
      <c r="AQ12" s="787"/>
    </row>
    <row r="13" spans="1:43" s="749" customFormat="1" ht="12.75">
      <c r="A13" s="539" t="s">
        <v>22</v>
      </c>
      <c r="B13" s="763"/>
      <c r="C13" s="737"/>
      <c r="D13" s="737">
        <v>9236</v>
      </c>
      <c r="E13" s="737">
        <v>4655</v>
      </c>
      <c r="F13" s="828">
        <v>5181</v>
      </c>
      <c r="G13" s="1256"/>
      <c r="H13" s="1239"/>
      <c r="I13" s="1239">
        <v>6794</v>
      </c>
      <c r="J13" s="1239">
        <v>3553</v>
      </c>
      <c r="K13" s="1262">
        <v>2409</v>
      </c>
      <c r="L13" s="765"/>
      <c r="M13" s="766"/>
      <c r="N13" s="766">
        <f t="shared" si="4"/>
        <v>16030</v>
      </c>
      <c r="O13" s="766">
        <f t="shared" si="5"/>
        <v>8208</v>
      </c>
      <c r="P13" s="872">
        <f t="shared" si="6"/>
        <v>7590</v>
      </c>
      <c r="Q13" s="1053"/>
      <c r="R13" s="328"/>
      <c r="S13" s="328">
        <v>4898</v>
      </c>
      <c r="T13" s="328">
        <v>2460</v>
      </c>
      <c r="U13" s="952">
        <v>4590</v>
      </c>
      <c r="V13" s="768"/>
      <c r="W13" s="121"/>
      <c r="X13" s="121">
        <f t="shared" si="13"/>
        <v>20928</v>
      </c>
      <c r="Y13" s="121">
        <f t="shared" si="12"/>
        <v>10668</v>
      </c>
      <c r="Z13" s="122">
        <f t="shared" si="9"/>
        <v>12180</v>
      </c>
      <c r="AA13" s="787"/>
      <c r="AB13" s="787"/>
      <c r="AC13" s="787"/>
      <c r="AD13" s="787"/>
      <c r="AE13" s="787"/>
      <c r="AF13" s="787"/>
      <c r="AG13" s="787"/>
      <c r="AH13" s="787"/>
      <c r="AI13" s="787"/>
      <c r="AJ13" s="787"/>
      <c r="AK13" s="787"/>
      <c r="AL13" s="787"/>
      <c r="AM13" s="787"/>
      <c r="AN13" s="787"/>
      <c r="AO13" s="787"/>
      <c r="AP13" s="787"/>
      <c r="AQ13" s="787"/>
    </row>
    <row r="14" spans="1:43" s="749" customFormat="1" ht="12.75">
      <c r="A14" s="539" t="s">
        <v>23</v>
      </c>
      <c r="B14" s="763"/>
      <c r="C14" s="352"/>
      <c r="D14" s="352">
        <v>8927</v>
      </c>
      <c r="E14" s="352">
        <v>6866</v>
      </c>
      <c r="F14" s="828">
        <v>5244</v>
      </c>
      <c r="G14" s="1256"/>
      <c r="H14" s="1240"/>
      <c r="I14" s="1240">
        <v>6379</v>
      </c>
      <c r="J14" s="1240">
        <v>5164</v>
      </c>
      <c r="K14" s="1262">
        <v>2887</v>
      </c>
      <c r="L14" s="765"/>
      <c r="M14" s="766"/>
      <c r="N14" s="766">
        <f t="shared" si="4"/>
        <v>15306</v>
      </c>
      <c r="O14" s="766">
        <f t="shared" si="5"/>
        <v>12030</v>
      </c>
      <c r="P14" s="872">
        <f t="shared" si="6"/>
        <v>8131</v>
      </c>
      <c r="Q14" s="1053"/>
      <c r="R14" s="329"/>
      <c r="S14" s="329">
        <v>3490</v>
      </c>
      <c r="T14" s="329">
        <v>4252</v>
      </c>
      <c r="U14" s="952">
        <v>3753</v>
      </c>
      <c r="V14" s="768"/>
      <c r="W14" s="121"/>
      <c r="X14" s="121">
        <f t="shared" si="13"/>
        <v>18796</v>
      </c>
      <c r="Y14" s="121">
        <f>+O14+T14</f>
        <v>16282</v>
      </c>
      <c r="Z14" s="122">
        <f t="shared" si="9"/>
        <v>11884</v>
      </c>
      <c r="AA14" s="787"/>
      <c r="AB14" s="787"/>
      <c r="AC14" s="787"/>
      <c r="AD14" s="787"/>
      <c r="AE14" s="787"/>
      <c r="AF14" s="787"/>
      <c r="AG14" s="787"/>
      <c r="AH14" s="787"/>
      <c r="AI14" s="787"/>
      <c r="AJ14" s="787"/>
      <c r="AK14" s="787"/>
      <c r="AL14" s="787"/>
      <c r="AM14" s="787"/>
      <c r="AN14" s="787"/>
      <c r="AO14" s="787"/>
      <c r="AP14" s="787"/>
      <c r="AQ14" s="787"/>
    </row>
    <row r="15" spans="1:43" s="749" customFormat="1" ht="13.5" thickBot="1">
      <c r="A15" s="791" t="s">
        <v>24</v>
      </c>
      <c r="B15" s="772"/>
      <c r="C15" s="387"/>
      <c r="D15" s="387">
        <v>8381</v>
      </c>
      <c r="E15" s="387">
        <v>5513</v>
      </c>
      <c r="F15" s="947">
        <v>6063</v>
      </c>
      <c r="G15" s="1257"/>
      <c r="H15" s="1258"/>
      <c r="I15" s="1258">
        <v>6034</v>
      </c>
      <c r="J15" s="1258">
        <v>4701</v>
      </c>
      <c r="K15" s="1263">
        <v>3303</v>
      </c>
      <c r="L15" s="775"/>
      <c r="M15" s="776"/>
      <c r="N15" s="776">
        <f t="shared" si="4"/>
        <v>14415</v>
      </c>
      <c r="O15" s="776">
        <f t="shared" si="5"/>
        <v>10214</v>
      </c>
      <c r="P15" s="873">
        <f t="shared" si="6"/>
        <v>9366</v>
      </c>
      <c r="Q15" s="1054"/>
      <c r="R15" s="553"/>
      <c r="S15" s="553">
        <v>2614</v>
      </c>
      <c r="T15" s="133">
        <v>2885</v>
      </c>
      <c r="U15" s="953">
        <v>2865</v>
      </c>
      <c r="V15" s="874"/>
      <c r="W15" s="124"/>
      <c r="X15" s="124">
        <f t="shared" si="13"/>
        <v>17029</v>
      </c>
      <c r="Y15" s="124">
        <f>+O15+T15</f>
        <v>13099</v>
      </c>
      <c r="Z15" s="125">
        <f t="shared" si="9"/>
        <v>12231</v>
      </c>
      <c r="AA15" s="787"/>
      <c r="AB15" s="787"/>
      <c r="AC15" s="787"/>
      <c r="AD15" s="787"/>
      <c r="AE15" s="787"/>
      <c r="AF15" s="787"/>
      <c r="AG15" s="787"/>
      <c r="AH15" s="787"/>
      <c r="AI15" s="787"/>
      <c r="AJ15" s="787"/>
      <c r="AK15" s="787"/>
      <c r="AL15" s="787"/>
      <c r="AM15" s="787"/>
      <c r="AN15" s="787"/>
      <c r="AO15" s="787"/>
      <c r="AP15" s="787"/>
      <c r="AQ15" s="787"/>
    </row>
    <row r="16" spans="1:43" s="547" customFormat="1" ht="11.25">
      <c r="A16" s="781" t="s">
        <v>25</v>
      </c>
      <c r="B16" s="1050">
        <f>SUM(C16-D16)/D16</f>
        <v>0.22585438335809807</v>
      </c>
      <c r="C16" s="792">
        <f>SUM(C4:C10)</f>
        <v>52800</v>
      </c>
      <c r="D16" s="792">
        <f>SUM(D4:D10)</f>
        <v>43072</v>
      </c>
      <c r="E16" s="792">
        <f>SUM(E4:E10)</f>
        <v>49774</v>
      </c>
      <c r="F16" s="792">
        <f>SUM(F4:F10)</f>
        <v>39838</v>
      </c>
      <c r="G16" s="1050">
        <f>SUM(H16-I16)/I16</f>
        <v>0.025228984878868353</v>
      </c>
      <c r="H16" s="792">
        <f>SUM(H4:H10)</f>
        <v>37833</v>
      </c>
      <c r="I16" s="792">
        <f>SUM(I4:I10)</f>
        <v>36902</v>
      </c>
      <c r="J16" s="792">
        <f>SUM(J4:J10)</f>
        <v>27792</v>
      </c>
      <c r="K16" s="792">
        <f>SUM(K4:K10)</f>
        <v>19492</v>
      </c>
      <c r="L16" s="1050">
        <f>SUM(M16-N16)/N16</f>
        <v>0.1332808162652862</v>
      </c>
      <c r="M16" s="1055">
        <f>+C16+H16</f>
        <v>90633</v>
      </c>
      <c r="N16" s="1055">
        <f>+D16+I16</f>
        <v>79974</v>
      </c>
      <c r="O16" s="1055">
        <f>+E16+J16</f>
        <v>77566</v>
      </c>
      <c r="P16" s="1055">
        <f>+F16+K16</f>
        <v>59330</v>
      </c>
      <c r="Q16" s="1050">
        <f>SUM(R16-S16)/S16</f>
        <v>0.13358778625954199</v>
      </c>
      <c r="R16" s="792">
        <f>SUM(R4:R10)</f>
        <v>23463</v>
      </c>
      <c r="S16" s="792">
        <f>SUM(S4:S10)</f>
        <v>20698</v>
      </c>
      <c r="T16" s="792">
        <f>SUM(T4:T10)</f>
        <v>28494</v>
      </c>
      <c r="U16" s="792">
        <f>SUM(U4:U10)</f>
        <v>26354</v>
      </c>
      <c r="V16" s="1050">
        <f>SUM(W16-X16)/X16</f>
        <v>0.13334392879847426</v>
      </c>
      <c r="W16" s="332">
        <f t="shared" si="13"/>
        <v>114096</v>
      </c>
      <c r="X16" s="332">
        <f t="shared" si="13"/>
        <v>100672</v>
      </c>
      <c r="Y16" s="332">
        <f>+O16+T16</f>
        <v>106060</v>
      </c>
      <c r="Z16" s="589">
        <f>+P16+U16</f>
        <v>85684</v>
      </c>
      <c r="AA16" s="334"/>
      <c r="AB16" s="877"/>
      <c r="AC16" s="334"/>
      <c r="AD16" s="334"/>
      <c r="AE16" s="877"/>
      <c r="AF16" s="334"/>
      <c r="AG16" s="3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</row>
    <row r="17" spans="1:43" s="547" customFormat="1" ht="12" thickBot="1">
      <c r="A17" s="784" t="s">
        <v>28</v>
      </c>
      <c r="B17" s="878">
        <f>SUM(C17-D17)/D17</f>
        <v>0.05292020839045795</v>
      </c>
      <c r="C17" s="785">
        <f>AVERAGE(C4:C15)</f>
        <v>7542.857142857143</v>
      </c>
      <c r="D17" s="785">
        <f>AVERAGE(D4:D15)</f>
        <v>7163.75</v>
      </c>
      <c r="E17" s="785">
        <f>AVERAGE(E4:E15)</f>
        <v>6710.583333333333</v>
      </c>
      <c r="F17" s="786">
        <f>AVERAGE(F4:F15)</f>
        <v>5730.333333333333</v>
      </c>
      <c r="G17" s="878">
        <f>SUM(H17-I17)/I17</f>
        <v>-0.03152891786268934</v>
      </c>
      <c r="H17" s="785">
        <f>AVERAGE(H4:H15)</f>
        <v>5404.714285714285</v>
      </c>
      <c r="I17" s="785">
        <f>AVERAGE(I4:I15)</f>
        <v>5580.666666666667</v>
      </c>
      <c r="J17" s="785">
        <f>AVERAGE(J4:J15)</f>
        <v>4198.166666666667</v>
      </c>
      <c r="K17" s="786">
        <f>AVERAGE(K4:K15)</f>
        <v>2843.6666666666665</v>
      </c>
      <c r="L17" s="878">
        <f>SUM(M17-N17)/N17</f>
        <v>0.015940687378506662</v>
      </c>
      <c r="M17" s="785">
        <f>AVERAGE(M4:M15)</f>
        <v>12947.57142857143</v>
      </c>
      <c r="N17" s="785">
        <f>AVERAGE(N4:N15)</f>
        <v>12744.416666666666</v>
      </c>
      <c r="O17" s="785">
        <f>AVERAGE(O4:O15)</f>
        <v>10908.75</v>
      </c>
      <c r="P17" s="786">
        <f>AVERAGE(P4:P15)</f>
        <v>8574</v>
      </c>
      <c r="Q17" s="878">
        <f>SUM(R17-S17)/S17</f>
        <v>0.05467880835633925</v>
      </c>
      <c r="R17" s="785">
        <f>AVERAGE(R4:R15)</f>
        <v>3351.8571428571427</v>
      </c>
      <c r="S17" s="785">
        <f>AVERAGE(S4:S15)</f>
        <v>3178.0833333333335</v>
      </c>
      <c r="T17" s="785">
        <f>AVERAGE(T4:T15)</f>
        <v>3894</v>
      </c>
      <c r="U17" s="786">
        <f>AVERAGE(U4:U15)</f>
        <v>3824.3333333333335</v>
      </c>
      <c r="V17" s="878">
        <f>SUM(W17-X17)/X17</f>
        <v>0.02367270035663813</v>
      </c>
      <c r="W17" s="785">
        <f>AVERAGE(W4:W15)</f>
        <v>16299.42857142857</v>
      </c>
      <c r="X17" s="785">
        <f>AVERAGE(X4:X15)</f>
        <v>15922.5</v>
      </c>
      <c r="Y17" s="785">
        <f>AVERAGE(Y4:Y15)</f>
        <v>14802.75</v>
      </c>
      <c r="Z17" s="786">
        <f>AVERAGE(Z4:Z15)</f>
        <v>12398.333333333334</v>
      </c>
      <c r="AA17" s="334"/>
      <c r="AB17" s="877"/>
      <c r="AC17" s="334"/>
      <c r="AD17" s="334"/>
      <c r="AE17" s="877"/>
      <c r="AF17" s="334"/>
      <c r="AG17" s="334"/>
      <c r="AH17" s="534"/>
      <c r="AI17" s="534"/>
      <c r="AJ17" s="534"/>
      <c r="AK17" s="534"/>
      <c r="AL17" s="534"/>
      <c r="AM17" s="534"/>
      <c r="AN17" s="534"/>
      <c r="AO17" s="534"/>
      <c r="AP17" s="534"/>
      <c r="AQ17" s="534"/>
    </row>
  </sheetData>
  <mergeCells count="7">
    <mergeCell ref="A1:A2"/>
    <mergeCell ref="Y1:Z1"/>
    <mergeCell ref="B3:F3"/>
    <mergeCell ref="G3:K3"/>
    <mergeCell ref="Q3:U3"/>
    <mergeCell ref="V3:Z3"/>
    <mergeCell ref="L3:P3"/>
  </mergeCells>
  <printOptions/>
  <pageMargins left="0.75" right="0.75" top="1" bottom="1" header="0.5" footer="0.5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D20" sqref="D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0" sqref="A1:IV16384"/>
    </sheetView>
  </sheetViews>
  <sheetFormatPr defaultColWidth="9.140625" defaultRowHeight="12.75"/>
  <cols>
    <col min="1" max="16384" width="0" style="0" hidden="1" customWidth="1"/>
  </cols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J19"/>
  <sheetViews>
    <sheetView workbookViewId="0" topLeftCell="A1">
      <selection activeCell="A1" sqref="A1:IV17"/>
    </sheetView>
  </sheetViews>
  <sheetFormatPr defaultColWidth="9.140625" defaultRowHeight="12.75"/>
  <cols>
    <col min="1" max="1" width="19.28125" style="3" bestFit="1" customWidth="1"/>
    <col min="2" max="2" width="10.00390625" style="3" bestFit="1" customWidth="1"/>
    <col min="3" max="5" width="6.57421875" style="3" customWidth="1"/>
    <col min="6" max="6" width="6.57421875" style="3" bestFit="1" customWidth="1"/>
    <col min="7" max="7" width="6.57421875" style="3" customWidth="1"/>
    <col min="8" max="8" width="10.00390625" style="3" bestFit="1" customWidth="1"/>
    <col min="9" max="13" width="6.57421875" style="3" bestFit="1" customWidth="1"/>
    <col min="14" max="14" width="10.00390625" style="3" bestFit="1" customWidth="1"/>
    <col min="15" max="15" width="6.57421875" style="3" bestFit="1" customWidth="1"/>
    <col min="16" max="19" width="7.8515625" style="3" bestFit="1" customWidth="1"/>
    <col min="20" max="20" width="9.57421875" style="3" bestFit="1" customWidth="1"/>
    <col min="21" max="22" width="6.57421875" style="3" customWidth="1"/>
    <col min="23" max="25" width="6.57421875" style="3" bestFit="1" customWidth="1"/>
    <col min="26" max="26" width="9.57421875" style="3" bestFit="1" customWidth="1"/>
    <col min="27" max="27" width="6.57421875" style="3" bestFit="1" customWidth="1"/>
    <col min="28" max="31" width="7.8515625" style="3" bestFit="1" customWidth="1"/>
    <col min="32" max="16384" width="9.140625" style="3" customWidth="1"/>
  </cols>
  <sheetData>
    <row r="1" spans="1:31" s="137" customFormat="1" ht="13.5" thickBot="1">
      <c r="A1" s="116" t="s">
        <v>99</v>
      </c>
      <c r="B1" s="1867" t="s">
        <v>67</v>
      </c>
      <c r="C1" s="1868"/>
      <c r="D1" s="1868"/>
      <c r="E1" s="1869"/>
      <c r="F1" s="1869"/>
      <c r="G1" s="1869"/>
      <c r="H1" s="1869"/>
      <c r="I1" s="1869"/>
      <c r="J1" s="1869"/>
      <c r="K1" s="1869"/>
      <c r="L1" s="1869"/>
      <c r="M1" s="1869"/>
      <c r="N1" s="1869"/>
      <c r="O1" s="1869"/>
      <c r="P1" s="1869"/>
      <c r="Q1" s="1869"/>
      <c r="R1" s="1869"/>
      <c r="S1" s="1869"/>
      <c r="T1" s="1822"/>
      <c r="U1" s="1822"/>
      <c r="V1" s="1822"/>
      <c r="W1" s="1822"/>
      <c r="X1" s="1822"/>
      <c r="Y1" s="1926"/>
      <c r="Z1" s="1927" t="s">
        <v>66</v>
      </c>
      <c r="AA1" s="1928"/>
      <c r="AB1" s="1928"/>
      <c r="AC1" s="1869"/>
      <c r="AD1" s="1869"/>
      <c r="AE1" s="1929"/>
    </row>
    <row r="2" spans="1:31" s="137" customFormat="1" ht="12.75" thickBot="1" thickTop="1">
      <c r="A2" s="126"/>
      <c r="B2" s="202" t="s">
        <v>94</v>
      </c>
      <c r="C2" s="203">
        <v>2006</v>
      </c>
      <c r="D2" s="203">
        <v>2005</v>
      </c>
      <c r="E2" s="203">
        <v>2004</v>
      </c>
      <c r="F2" s="203">
        <v>2003</v>
      </c>
      <c r="G2" s="204">
        <v>2002</v>
      </c>
      <c r="H2" s="117" t="s">
        <v>94</v>
      </c>
      <c r="I2" s="112">
        <v>2006</v>
      </c>
      <c r="J2" s="112">
        <v>2005</v>
      </c>
      <c r="K2" s="112">
        <v>2004</v>
      </c>
      <c r="L2" s="112">
        <v>2003</v>
      </c>
      <c r="M2" s="113">
        <v>2002</v>
      </c>
      <c r="N2" s="176" t="s">
        <v>94</v>
      </c>
      <c r="O2" s="177">
        <v>2006</v>
      </c>
      <c r="P2" s="177">
        <v>2005</v>
      </c>
      <c r="Q2" s="177">
        <v>2004</v>
      </c>
      <c r="R2" s="177">
        <v>2003</v>
      </c>
      <c r="S2" s="178">
        <v>2002</v>
      </c>
      <c r="T2" s="129" t="s">
        <v>96</v>
      </c>
      <c r="U2" s="130">
        <v>2006</v>
      </c>
      <c r="V2" s="130">
        <v>2005</v>
      </c>
      <c r="W2" s="130">
        <v>2004</v>
      </c>
      <c r="X2" s="130">
        <v>2003</v>
      </c>
      <c r="Y2" s="131">
        <v>2002</v>
      </c>
      <c r="Z2" s="118" t="s">
        <v>96</v>
      </c>
      <c r="AA2" s="114">
        <v>2006</v>
      </c>
      <c r="AB2" s="114">
        <v>2005</v>
      </c>
      <c r="AC2" s="114">
        <v>2004</v>
      </c>
      <c r="AD2" s="114">
        <v>2003</v>
      </c>
      <c r="AE2" s="134">
        <v>2002</v>
      </c>
    </row>
    <row r="3" spans="1:31" s="137" customFormat="1" ht="12" thickBot="1">
      <c r="A3" s="135"/>
      <c r="B3" s="2132" t="s">
        <v>100</v>
      </c>
      <c r="C3" s="2133"/>
      <c r="D3" s="2134"/>
      <c r="E3" s="2134"/>
      <c r="F3" s="2134"/>
      <c r="G3" s="2135"/>
      <c r="H3" s="2136" t="s">
        <v>69</v>
      </c>
      <c r="I3" s="2137"/>
      <c r="J3" s="2138"/>
      <c r="K3" s="2139"/>
      <c r="L3" s="2139"/>
      <c r="M3" s="2140"/>
      <c r="N3" s="2141" t="s">
        <v>71</v>
      </c>
      <c r="O3" s="2141"/>
      <c r="P3" s="2142"/>
      <c r="Q3" s="2142"/>
      <c r="R3" s="2142"/>
      <c r="S3" s="2143"/>
      <c r="T3" s="2144" t="s">
        <v>101</v>
      </c>
      <c r="U3" s="2144"/>
      <c r="V3" s="2145"/>
      <c r="W3" s="2145"/>
      <c r="X3" s="2145"/>
      <c r="Y3" s="2146"/>
      <c r="Z3" s="205"/>
      <c r="AA3" s="206"/>
      <c r="AB3" s="206"/>
      <c r="AC3" s="206"/>
      <c r="AD3" s="206"/>
      <c r="AE3" s="207"/>
    </row>
    <row r="4" spans="1:31" s="137" customFormat="1" ht="11.25">
      <c r="A4" s="208" t="s">
        <v>13</v>
      </c>
      <c r="B4" s="209">
        <f>C4/D4-1</f>
        <v>0.17007122172653988</v>
      </c>
      <c r="C4" s="210">
        <v>74750</v>
      </c>
      <c r="D4" s="210">
        <v>63885</v>
      </c>
      <c r="E4" s="210">
        <v>50750</v>
      </c>
      <c r="F4" s="210">
        <v>58082</v>
      </c>
      <c r="G4" s="211">
        <v>35060</v>
      </c>
      <c r="H4" s="141">
        <f>I4/J4-1</f>
        <v>0.09258877670169663</v>
      </c>
      <c r="I4" s="97">
        <v>63628</v>
      </c>
      <c r="J4" s="97">
        <v>58236</v>
      </c>
      <c r="K4" s="97">
        <v>51896</v>
      </c>
      <c r="L4" s="97">
        <v>46884</v>
      </c>
      <c r="M4" s="212">
        <v>34136</v>
      </c>
      <c r="N4" s="213">
        <f>O4/P4-1</f>
        <v>0.1331220674576854</v>
      </c>
      <c r="O4" s="179">
        <f>+C4+I4</f>
        <v>138378</v>
      </c>
      <c r="P4" s="179">
        <f aca="true" t="shared" si="0" ref="P4:S16">+D4+J4</f>
        <v>122121</v>
      </c>
      <c r="Q4" s="179">
        <f t="shared" si="0"/>
        <v>102646</v>
      </c>
      <c r="R4" s="179">
        <f t="shared" si="0"/>
        <v>104966</v>
      </c>
      <c r="S4" s="214">
        <f t="shared" si="0"/>
        <v>69196</v>
      </c>
      <c r="T4" s="132">
        <f>SUM(U4-V4)/V4</f>
        <v>0.36349709271961284</v>
      </c>
      <c r="U4" s="215">
        <v>39161</v>
      </c>
      <c r="V4" s="215">
        <v>28721</v>
      </c>
      <c r="W4" s="215">
        <v>22372</v>
      </c>
      <c r="X4" s="215">
        <v>25367</v>
      </c>
      <c r="Y4" s="216">
        <v>16191</v>
      </c>
      <c r="Z4" s="234">
        <f>SUM(AA4-AB4)/AB4</f>
        <v>0.17698651569191604</v>
      </c>
      <c r="AA4" s="121">
        <f>+O4+U4</f>
        <v>177539</v>
      </c>
      <c r="AB4" s="121">
        <f aca="true" t="shared" si="1" ref="AB4:AB16">+P4+V4</f>
        <v>150842</v>
      </c>
      <c r="AC4" s="121">
        <f aca="true" t="shared" si="2" ref="AC4:AC16">+Q4+W4</f>
        <v>125018</v>
      </c>
      <c r="AD4" s="121">
        <f aca="true" t="shared" si="3" ref="AD4:AD16">+R4+X4</f>
        <v>130333</v>
      </c>
      <c r="AE4" s="121">
        <f aca="true" t="shared" si="4" ref="AE4:AE16">+S4+Y4</f>
        <v>85387</v>
      </c>
    </row>
    <row r="5" spans="1:62" s="137" customFormat="1" ht="11.25">
      <c r="A5" s="217" t="s">
        <v>14</v>
      </c>
      <c r="B5" s="218">
        <f>C5/D5-1</f>
        <v>0.0442112914184587</v>
      </c>
      <c r="C5" s="200">
        <v>66085</v>
      </c>
      <c r="D5" s="200">
        <v>63287</v>
      </c>
      <c r="E5" s="200">
        <v>53589</v>
      </c>
      <c r="F5" s="200">
        <v>48500</v>
      </c>
      <c r="G5" s="201">
        <v>35462</v>
      </c>
      <c r="H5" s="119">
        <f>I5/J5-1</f>
        <v>0.05503231434828271</v>
      </c>
      <c r="I5" s="111">
        <v>59258</v>
      </c>
      <c r="J5" s="111">
        <v>56167</v>
      </c>
      <c r="K5" s="111">
        <v>56145</v>
      </c>
      <c r="L5" s="111">
        <v>44875</v>
      </c>
      <c r="M5" s="219">
        <v>38639</v>
      </c>
      <c r="N5" s="220">
        <f>O5/P5-1</f>
        <v>0.04929931186900394</v>
      </c>
      <c r="O5" s="180">
        <f>+C5+I5</f>
        <v>125343</v>
      </c>
      <c r="P5" s="180">
        <f t="shared" si="0"/>
        <v>119454</v>
      </c>
      <c r="Q5" s="180">
        <f t="shared" si="0"/>
        <v>109734</v>
      </c>
      <c r="R5" s="180">
        <f t="shared" si="0"/>
        <v>93375</v>
      </c>
      <c r="S5" s="221">
        <f t="shared" si="0"/>
        <v>74101</v>
      </c>
      <c r="T5" s="132">
        <f>SUM(U5-V5)/V5</f>
        <v>0.38997804265997493</v>
      </c>
      <c r="U5" s="222">
        <v>35450</v>
      </c>
      <c r="V5" s="222">
        <v>25504</v>
      </c>
      <c r="W5" s="222">
        <v>23537</v>
      </c>
      <c r="X5" s="222">
        <v>23302</v>
      </c>
      <c r="Y5" s="199">
        <v>17283</v>
      </c>
      <c r="Z5" s="234">
        <f>SUM(AA5-AB5)/AB5</f>
        <v>0.10923853805929994</v>
      </c>
      <c r="AA5" s="121">
        <f>+O5+U5</f>
        <v>160793</v>
      </c>
      <c r="AB5" s="121">
        <f t="shared" si="1"/>
        <v>144958</v>
      </c>
      <c r="AC5" s="121">
        <f t="shared" si="2"/>
        <v>133271</v>
      </c>
      <c r="AD5" s="121">
        <f t="shared" si="3"/>
        <v>116677</v>
      </c>
      <c r="AE5" s="121">
        <f t="shared" si="4"/>
        <v>91384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31" ht="11.25">
      <c r="A6" s="217" t="s">
        <v>15</v>
      </c>
      <c r="B6" s="218">
        <f>C6/D6-1</f>
        <v>-0.0052642977326869955</v>
      </c>
      <c r="C6" s="200">
        <v>59711</v>
      </c>
      <c r="D6" s="200">
        <v>60027</v>
      </c>
      <c r="E6" s="200">
        <v>53812</v>
      </c>
      <c r="F6" s="200">
        <v>45723</v>
      </c>
      <c r="G6" s="201">
        <v>34993</v>
      </c>
      <c r="H6" s="119">
        <f>I6/J6-1</f>
        <v>0.19894868585732173</v>
      </c>
      <c r="I6" s="111">
        <v>71847</v>
      </c>
      <c r="J6" s="111">
        <v>59925</v>
      </c>
      <c r="K6" s="111">
        <v>58121</v>
      </c>
      <c r="L6" s="111">
        <v>51643</v>
      </c>
      <c r="M6" s="219">
        <v>41815</v>
      </c>
      <c r="N6" s="220">
        <f>O6/P6-1</f>
        <v>0.09675536881419244</v>
      </c>
      <c r="O6" s="180">
        <f>+C6+I6</f>
        <v>131558</v>
      </c>
      <c r="P6" s="180">
        <f t="shared" si="0"/>
        <v>119952</v>
      </c>
      <c r="Q6" s="180">
        <f t="shared" si="0"/>
        <v>111933</v>
      </c>
      <c r="R6" s="180">
        <f t="shared" si="0"/>
        <v>97366</v>
      </c>
      <c r="S6" s="221">
        <f t="shared" si="0"/>
        <v>76808</v>
      </c>
      <c r="T6" s="132">
        <f>SUM(U6-V6)/V6</f>
        <v>0.39919424262249925</v>
      </c>
      <c r="U6" s="222">
        <v>40634</v>
      </c>
      <c r="V6" s="222">
        <v>29041</v>
      </c>
      <c r="W6" s="222">
        <v>24323</v>
      </c>
      <c r="X6" s="222">
        <v>28612</v>
      </c>
      <c r="Y6" s="199">
        <v>20706</v>
      </c>
      <c r="Z6" s="234">
        <f>SUM(AA6-AB6)/AB6</f>
        <v>0.15570530159134993</v>
      </c>
      <c r="AA6" s="121">
        <f>+O6+U6</f>
        <v>172192</v>
      </c>
      <c r="AB6" s="121">
        <f t="shared" si="1"/>
        <v>148993</v>
      </c>
      <c r="AC6" s="121">
        <f t="shared" si="2"/>
        <v>136256</v>
      </c>
      <c r="AD6" s="121">
        <f t="shared" si="3"/>
        <v>125978</v>
      </c>
      <c r="AE6" s="121">
        <f t="shared" si="4"/>
        <v>97514</v>
      </c>
    </row>
    <row r="7" spans="1:31" ht="11.25">
      <c r="A7" s="217" t="s">
        <v>16</v>
      </c>
      <c r="B7" s="218">
        <f>C7/D7-1</f>
        <v>0.053332320085112794</v>
      </c>
      <c r="C7" s="200">
        <v>69304</v>
      </c>
      <c r="D7" s="200">
        <v>65795</v>
      </c>
      <c r="E7" s="200">
        <v>53575</v>
      </c>
      <c r="F7" s="200">
        <v>53662</v>
      </c>
      <c r="G7" s="201">
        <v>36444</v>
      </c>
      <c r="H7" s="119">
        <f>I7/J7-1</f>
        <v>0.07700732313325487</v>
      </c>
      <c r="I7" s="111">
        <v>65887</v>
      </c>
      <c r="J7" s="111">
        <v>61176</v>
      </c>
      <c r="K7" s="111">
        <v>59997</v>
      </c>
      <c r="L7" s="111">
        <v>48141</v>
      </c>
      <c r="M7" s="219">
        <v>40010</v>
      </c>
      <c r="N7" s="220">
        <f>O7/P7-1</f>
        <v>0.06473919241401571</v>
      </c>
      <c r="O7" s="180">
        <f>+C7+I7</f>
        <v>135191</v>
      </c>
      <c r="P7" s="180">
        <f t="shared" si="0"/>
        <v>126971</v>
      </c>
      <c r="Q7" s="180">
        <f t="shared" si="0"/>
        <v>113572</v>
      </c>
      <c r="R7" s="180">
        <f t="shared" si="0"/>
        <v>101803</v>
      </c>
      <c r="S7" s="221">
        <f t="shared" si="0"/>
        <v>76454</v>
      </c>
      <c r="T7" s="132">
        <f>SUM(U7-V7)/V7</f>
        <v>0.41766889383815886</v>
      </c>
      <c r="U7" s="222">
        <v>38192</v>
      </c>
      <c r="V7" s="222">
        <v>26940</v>
      </c>
      <c r="W7" s="222">
        <v>22838</v>
      </c>
      <c r="X7" s="222">
        <v>27237</v>
      </c>
      <c r="Y7" s="199">
        <v>18017</v>
      </c>
      <c r="Z7" s="234">
        <f>SUM(AA7-AB7)/AB7</f>
        <v>0.12651467406488165</v>
      </c>
      <c r="AA7" s="121">
        <f>+O7+U7</f>
        <v>173383</v>
      </c>
      <c r="AB7" s="121">
        <f t="shared" si="1"/>
        <v>153911</v>
      </c>
      <c r="AC7" s="121">
        <f t="shared" si="2"/>
        <v>136410</v>
      </c>
      <c r="AD7" s="121">
        <f t="shared" si="3"/>
        <v>129040</v>
      </c>
      <c r="AE7" s="121">
        <f t="shared" si="4"/>
        <v>94471</v>
      </c>
    </row>
    <row r="8" spans="1:31" ht="11.25">
      <c r="A8" s="217" t="s">
        <v>17</v>
      </c>
      <c r="B8" s="218">
        <f>C8/D8-1</f>
        <v>0.08730310262529839</v>
      </c>
      <c r="C8" s="200">
        <v>68337</v>
      </c>
      <c r="D8" s="200">
        <v>62850</v>
      </c>
      <c r="E8" s="200">
        <v>52339</v>
      </c>
      <c r="F8" s="200">
        <v>46723</v>
      </c>
      <c r="G8" s="201">
        <v>39706</v>
      </c>
      <c r="H8" s="119">
        <f>I8/J8-1</f>
        <v>0.09021345815489834</v>
      </c>
      <c r="I8" s="111">
        <v>65681</v>
      </c>
      <c r="J8" s="111">
        <v>60246</v>
      </c>
      <c r="K8" s="111">
        <v>59182</v>
      </c>
      <c r="L8" s="111">
        <v>46008</v>
      </c>
      <c r="M8" s="219">
        <v>45154</v>
      </c>
      <c r="N8" s="220">
        <f>O8/P8-1</f>
        <v>0.08872749723792817</v>
      </c>
      <c r="O8" s="180">
        <f>+C8+I8</f>
        <v>134018</v>
      </c>
      <c r="P8" s="180">
        <f t="shared" si="0"/>
        <v>123096</v>
      </c>
      <c r="Q8" s="180">
        <f t="shared" si="0"/>
        <v>111521</v>
      </c>
      <c r="R8" s="180">
        <f t="shared" si="0"/>
        <v>92731</v>
      </c>
      <c r="S8" s="221">
        <f t="shared" si="0"/>
        <v>84860</v>
      </c>
      <c r="T8" s="132">
        <f>SUM(U8-V8)/V8</f>
        <v>0.6994746059544659</v>
      </c>
      <c r="U8" s="222">
        <v>43668</v>
      </c>
      <c r="V8" s="222">
        <v>25695</v>
      </c>
      <c r="W8" s="222">
        <v>25756</v>
      </c>
      <c r="X8" s="222">
        <v>29524</v>
      </c>
      <c r="Y8" s="199">
        <v>18261</v>
      </c>
      <c r="Z8" s="234">
        <f>SUM(AA8-AB8)/AB8</f>
        <v>0.19419857383847142</v>
      </c>
      <c r="AA8" s="121">
        <f>+O8+U8</f>
        <v>177686</v>
      </c>
      <c r="AB8" s="121">
        <f t="shared" si="1"/>
        <v>148791</v>
      </c>
      <c r="AC8" s="121">
        <f t="shared" si="2"/>
        <v>137277</v>
      </c>
      <c r="AD8" s="121">
        <f t="shared" si="3"/>
        <v>122255</v>
      </c>
      <c r="AE8" s="121">
        <f t="shared" si="4"/>
        <v>103121</v>
      </c>
    </row>
    <row r="9" spans="1:31" ht="11.25">
      <c r="A9" s="217" t="s">
        <v>18</v>
      </c>
      <c r="B9" s="218"/>
      <c r="C9" s="200"/>
      <c r="D9" s="200">
        <v>61908</v>
      </c>
      <c r="E9" s="200">
        <v>51115</v>
      </c>
      <c r="F9" s="200">
        <v>45070</v>
      </c>
      <c r="G9" s="201">
        <v>38884</v>
      </c>
      <c r="H9" s="119"/>
      <c r="I9" s="111"/>
      <c r="J9" s="111">
        <v>58136</v>
      </c>
      <c r="K9" s="111">
        <v>51263</v>
      </c>
      <c r="L9" s="111">
        <v>48047</v>
      </c>
      <c r="M9" s="219">
        <v>41997</v>
      </c>
      <c r="N9" s="220"/>
      <c r="O9" s="180"/>
      <c r="P9" s="180">
        <f t="shared" si="0"/>
        <v>120044</v>
      </c>
      <c r="Q9" s="180">
        <f t="shared" si="0"/>
        <v>102378</v>
      </c>
      <c r="R9" s="180">
        <f t="shared" si="0"/>
        <v>93117</v>
      </c>
      <c r="S9" s="221">
        <f t="shared" si="0"/>
        <v>80881</v>
      </c>
      <c r="T9" s="132"/>
      <c r="U9" s="222"/>
      <c r="V9" s="222">
        <v>29189</v>
      </c>
      <c r="W9" s="222">
        <v>28149</v>
      </c>
      <c r="X9" s="222">
        <v>30495</v>
      </c>
      <c r="Y9" s="199">
        <v>17674</v>
      </c>
      <c r="Z9" s="120"/>
      <c r="AA9" s="121"/>
      <c r="AB9" s="121">
        <f t="shared" si="1"/>
        <v>149233</v>
      </c>
      <c r="AC9" s="121">
        <f t="shared" si="2"/>
        <v>130527</v>
      </c>
      <c r="AD9" s="121">
        <f t="shared" si="3"/>
        <v>123612</v>
      </c>
      <c r="AE9" s="121">
        <f t="shared" si="4"/>
        <v>98555</v>
      </c>
    </row>
    <row r="10" spans="1:31" ht="11.25">
      <c r="A10" s="217" t="s">
        <v>19</v>
      </c>
      <c r="B10" s="218"/>
      <c r="C10" s="200"/>
      <c r="D10" s="200">
        <v>68108</v>
      </c>
      <c r="E10" s="200">
        <v>56529</v>
      </c>
      <c r="F10" s="200">
        <v>49782</v>
      </c>
      <c r="G10" s="201">
        <v>48590</v>
      </c>
      <c r="H10" s="119"/>
      <c r="I10" s="111"/>
      <c r="J10" s="111">
        <v>62566</v>
      </c>
      <c r="K10" s="111">
        <v>51200</v>
      </c>
      <c r="L10" s="111">
        <v>49491</v>
      </c>
      <c r="M10" s="219">
        <v>42435</v>
      </c>
      <c r="N10" s="220"/>
      <c r="O10" s="180"/>
      <c r="P10" s="180">
        <f t="shared" si="0"/>
        <v>130674</v>
      </c>
      <c r="Q10" s="180">
        <f t="shared" si="0"/>
        <v>107729</v>
      </c>
      <c r="R10" s="180">
        <f t="shared" si="0"/>
        <v>99273</v>
      </c>
      <c r="S10" s="221">
        <f t="shared" si="0"/>
        <v>91025</v>
      </c>
      <c r="T10" s="132"/>
      <c r="U10" s="222"/>
      <c r="V10" s="222">
        <v>31422</v>
      </c>
      <c r="W10" s="222">
        <v>28475</v>
      </c>
      <c r="X10" s="222">
        <v>28168</v>
      </c>
      <c r="Y10" s="199">
        <v>18458</v>
      </c>
      <c r="Z10" s="120"/>
      <c r="AA10" s="121"/>
      <c r="AB10" s="121">
        <f t="shared" si="1"/>
        <v>162096</v>
      </c>
      <c r="AC10" s="121">
        <f t="shared" si="2"/>
        <v>136204</v>
      </c>
      <c r="AD10" s="121">
        <f t="shared" si="3"/>
        <v>127441</v>
      </c>
      <c r="AE10" s="121">
        <f t="shared" si="4"/>
        <v>109483</v>
      </c>
    </row>
    <row r="11" spans="1:31" ht="11.25">
      <c r="A11" s="217" t="s">
        <v>20</v>
      </c>
      <c r="B11" s="218"/>
      <c r="C11" s="200"/>
      <c r="D11" s="200">
        <v>72639</v>
      </c>
      <c r="E11" s="200">
        <v>61498</v>
      </c>
      <c r="F11" s="200">
        <v>55437</v>
      </c>
      <c r="G11" s="201">
        <v>55050</v>
      </c>
      <c r="H11" s="119"/>
      <c r="I11" s="111"/>
      <c r="J11" s="111">
        <v>59631</v>
      </c>
      <c r="K11" s="111">
        <v>55844</v>
      </c>
      <c r="L11" s="111">
        <v>44605</v>
      </c>
      <c r="M11" s="219">
        <v>39912</v>
      </c>
      <c r="N11" s="220"/>
      <c r="O11" s="180"/>
      <c r="P11" s="180">
        <f t="shared" si="0"/>
        <v>132270</v>
      </c>
      <c r="Q11" s="180">
        <f t="shared" si="0"/>
        <v>117342</v>
      </c>
      <c r="R11" s="180">
        <f t="shared" si="0"/>
        <v>100042</v>
      </c>
      <c r="S11" s="221">
        <f t="shared" si="0"/>
        <v>94962</v>
      </c>
      <c r="T11" s="132"/>
      <c r="U11" s="222"/>
      <c r="V11" s="222">
        <v>34586</v>
      </c>
      <c r="W11" s="222">
        <v>37020</v>
      </c>
      <c r="X11" s="222">
        <v>33281</v>
      </c>
      <c r="Y11" s="199">
        <v>23952</v>
      </c>
      <c r="Z11" s="120"/>
      <c r="AA11" s="121"/>
      <c r="AB11" s="121">
        <f t="shared" si="1"/>
        <v>166856</v>
      </c>
      <c r="AC11" s="121">
        <f t="shared" si="2"/>
        <v>154362</v>
      </c>
      <c r="AD11" s="121">
        <f t="shared" si="3"/>
        <v>133323</v>
      </c>
      <c r="AE11" s="121">
        <f t="shared" si="4"/>
        <v>118914</v>
      </c>
    </row>
    <row r="12" spans="1:31" ht="11.25">
      <c r="A12" s="217" t="s">
        <v>21</v>
      </c>
      <c r="B12" s="218"/>
      <c r="C12" s="200"/>
      <c r="D12" s="200">
        <v>77105</v>
      </c>
      <c r="E12" s="200">
        <v>58757</v>
      </c>
      <c r="F12" s="200">
        <v>57672</v>
      </c>
      <c r="G12" s="201">
        <v>55173</v>
      </c>
      <c r="H12" s="119"/>
      <c r="I12" s="111"/>
      <c r="J12" s="111">
        <v>57127</v>
      </c>
      <c r="K12" s="111">
        <v>45143</v>
      </c>
      <c r="L12" s="111">
        <v>43319</v>
      </c>
      <c r="M12" s="219">
        <v>41680</v>
      </c>
      <c r="N12" s="220"/>
      <c r="O12" s="180"/>
      <c r="P12" s="180">
        <f t="shared" si="0"/>
        <v>134232</v>
      </c>
      <c r="Q12" s="180">
        <f t="shared" si="0"/>
        <v>103900</v>
      </c>
      <c r="R12" s="180">
        <f t="shared" si="0"/>
        <v>100991</v>
      </c>
      <c r="S12" s="221">
        <f t="shared" si="0"/>
        <v>96853</v>
      </c>
      <c r="T12" s="132"/>
      <c r="U12" s="222"/>
      <c r="V12" s="222">
        <v>35525</v>
      </c>
      <c r="W12" s="222">
        <v>27083</v>
      </c>
      <c r="X12" s="222">
        <v>29151</v>
      </c>
      <c r="Y12" s="199">
        <v>28293</v>
      </c>
      <c r="Z12" s="120"/>
      <c r="AA12" s="121"/>
      <c r="AB12" s="121">
        <f t="shared" si="1"/>
        <v>169757</v>
      </c>
      <c r="AC12" s="121">
        <f t="shared" si="2"/>
        <v>130983</v>
      </c>
      <c r="AD12" s="121">
        <f t="shared" si="3"/>
        <v>130142</v>
      </c>
      <c r="AE12" s="121">
        <f t="shared" si="4"/>
        <v>125146</v>
      </c>
    </row>
    <row r="13" spans="1:31" ht="11.25">
      <c r="A13" s="217" t="s">
        <v>22</v>
      </c>
      <c r="B13" s="218"/>
      <c r="C13" s="200"/>
      <c r="D13" s="200">
        <v>84996</v>
      </c>
      <c r="E13" s="200">
        <v>72876</v>
      </c>
      <c r="F13" s="200">
        <v>61121</v>
      </c>
      <c r="G13" s="201">
        <v>59861</v>
      </c>
      <c r="H13" s="119"/>
      <c r="I13" s="111"/>
      <c r="J13" s="111">
        <v>61939</v>
      </c>
      <c r="K13" s="111">
        <v>55879</v>
      </c>
      <c r="L13" s="111">
        <v>47629</v>
      </c>
      <c r="M13" s="219">
        <v>44604</v>
      </c>
      <c r="N13" s="220"/>
      <c r="O13" s="180"/>
      <c r="P13" s="180">
        <f t="shared" si="0"/>
        <v>146935</v>
      </c>
      <c r="Q13" s="180">
        <f t="shared" si="0"/>
        <v>128755</v>
      </c>
      <c r="R13" s="180">
        <f t="shared" si="0"/>
        <v>108750</v>
      </c>
      <c r="S13" s="221">
        <f t="shared" si="0"/>
        <v>104465</v>
      </c>
      <c r="T13" s="132"/>
      <c r="U13" s="222"/>
      <c r="V13" s="222">
        <v>44177</v>
      </c>
      <c r="W13" s="222">
        <v>32378</v>
      </c>
      <c r="X13" s="222">
        <v>34456</v>
      </c>
      <c r="Y13" s="199">
        <v>34120</v>
      </c>
      <c r="Z13" s="120"/>
      <c r="AA13" s="121"/>
      <c r="AB13" s="121">
        <f t="shared" si="1"/>
        <v>191112</v>
      </c>
      <c r="AC13" s="121">
        <f t="shared" si="2"/>
        <v>161133</v>
      </c>
      <c r="AD13" s="121">
        <f t="shared" si="3"/>
        <v>143206</v>
      </c>
      <c r="AE13" s="121">
        <f t="shared" si="4"/>
        <v>138585</v>
      </c>
    </row>
    <row r="14" spans="1:31" ht="11.25">
      <c r="A14" s="217" t="s">
        <v>23</v>
      </c>
      <c r="B14" s="218"/>
      <c r="C14" s="200"/>
      <c r="D14" s="200">
        <v>65488</v>
      </c>
      <c r="E14" s="200">
        <v>55999</v>
      </c>
      <c r="F14" s="200">
        <v>43857</v>
      </c>
      <c r="G14" s="201">
        <v>55690</v>
      </c>
      <c r="H14" s="119"/>
      <c r="I14" s="111"/>
      <c r="J14" s="111">
        <v>53555</v>
      </c>
      <c r="K14" s="111">
        <v>50967</v>
      </c>
      <c r="L14" s="111">
        <v>46814</v>
      </c>
      <c r="M14" s="219">
        <v>41303</v>
      </c>
      <c r="N14" s="220"/>
      <c r="O14" s="180"/>
      <c r="P14" s="180">
        <f t="shared" si="0"/>
        <v>119043</v>
      </c>
      <c r="Q14" s="180">
        <f t="shared" si="0"/>
        <v>106966</v>
      </c>
      <c r="R14" s="180">
        <f t="shared" si="0"/>
        <v>90671</v>
      </c>
      <c r="S14" s="221">
        <f t="shared" si="0"/>
        <v>96993</v>
      </c>
      <c r="T14" s="132"/>
      <c r="U14" s="222"/>
      <c r="V14" s="222">
        <v>42746</v>
      </c>
      <c r="W14" s="222">
        <v>35098</v>
      </c>
      <c r="X14" s="222">
        <v>26214</v>
      </c>
      <c r="Y14" s="199">
        <v>23133</v>
      </c>
      <c r="Z14" s="120"/>
      <c r="AA14" s="121"/>
      <c r="AB14" s="121">
        <f t="shared" si="1"/>
        <v>161789</v>
      </c>
      <c r="AC14" s="121">
        <f t="shared" si="2"/>
        <v>142064</v>
      </c>
      <c r="AD14" s="121">
        <f t="shared" si="3"/>
        <v>116885</v>
      </c>
      <c r="AE14" s="121">
        <f t="shared" si="4"/>
        <v>120126</v>
      </c>
    </row>
    <row r="15" spans="1:31" ht="11.25">
      <c r="A15" s="217" t="s">
        <v>24</v>
      </c>
      <c r="B15" s="218"/>
      <c r="C15" s="200"/>
      <c r="D15" s="200">
        <v>62178</v>
      </c>
      <c r="E15" s="200">
        <v>58374</v>
      </c>
      <c r="F15" s="200">
        <v>49819</v>
      </c>
      <c r="G15" s="201">
        <v>70345</v>
      </c>
      <c r="H15" s="119"/>
      <c r="I15" s="111"/>
      <c r="J15" s="111">
        <v>57840</v>
      </c>
      <c r="K15" s="111">
        <v>53869</v>
      </c>
      <c r="L15" s="111">
        <v>52750</v>
      </c>
      <c r="M15" s="219">
        <v>47201</v>
      </c>
      <c r="N15" s="220"/>
      <c r="O15" s="180"/>
      <c r="P15" s="180">
        <f t="shared" si="0"/>
        <v>120018</v>
      </c>
      <c r="Q15" s="180">
        <f t="shared" si="0"/>
        <v>112243</v>
      </c>
      <c r="R15" s="180">
        <f t="shared" si="0"/>
        <v>102569</v>
      </c>
      <c r="S15" s="221">
        <f t="shared" si="0"/>
        <v>117546</v>
      </c>
      <c r="T15" s="132"/>
      <c r="U15" s="222"/>
      <c r="V15" s="222">
        <v>33156</v>
      </c>
      <c r="W15" s="222">
        <v>27380</v>
      </c>
      <c r="X15" s="222">
        <v>20359</v>
      </c>
      <c r="Y15" s="199">
        <v>27694</v>
      </c>
      <c r="Z15" s="120"/>
      <c r="AA15" s="121"/>
      <c r="AB15" s="121">
        <f t="shared" si="1"/>
        <v>153174</v>
      </c>
      <c r="AC15" s="121">
        <f t="shared" si="2"/>
        <v>139623</v>
      </c>
      <c r="AD15" s="121">
        <f t="shared" si="3"/>
        <v>122928</v>
      </c>
      <c r="AE15" s="121">
        <f t="shared" si="4"/>
        <v>145240</v>
      </c>
    </row>
    <row r="16" spans="1:31" ht="11.25">
      <c r="A16" s="225" t="s">
        <v>25</v>
      </c>
      <c r="B16" s="218">
        <f>C16/D16-1</f>
        <v>0.07074061878648963</v>
      </c>
      <c r="C16" s="223">
        <f>SUM(C4:C8)</f>
        <v>338187</v>
      </c>
      <c r="D16" s="223">
        <f>SUM(D4:D8)</f>
        <v>315844</v>
      </c>
      <c r="E16" s="223">
        <f>SUM(E4:E8)</f>
        <v>264065</v>
      </c>
      <c r="F16" s="223">
        <f>SUM(F4:F8)</f>
        <v>252690</v>
      </c>
      <c r="G16" s="224">
        <f>SUM(G4:G8)</f>
        <v>181665</v>
      </c>
      <c r="H16" s="119">
        <f>I16/J16-1</f>
        <v>0.10330008453085382</v>
      </c>
      <c r="I16" s="123">
        <f>SUM(I4:I8)</f>
        <v>326301</v>
      </c>
      <c r="J16" s="123">
        <f>SUM(J4:J8)</f>
        <v>295750</v>
      </c>
      <c r="K16" s="123">
        <f>SUM(K4:K8)</f>
        <v>285341</v>
      </c>
      <c r="L16" s="123">
        <f>SUM(L4:L8)</f>
        <v>237551</v>
      </c>
      <c r="M16" s="123">
        <f>SUM(M4:M8)</f>
        <v>199754</v>
      </c>
      <c r="N16" s="220">
        <f>O16/P16-1</f>
        <v>0.08648547892883185</v>
      </c>
      <c r="O16" s="180">
        <f>+C16+I16</f>
        <v>664488</v>
      </c>
      <c r="P16" s="180">
        <f t="shared" si="0"/>
        <v>611594</v>
      </c>
      <c r="Q16" s="180">
        <f t="shared" si="0"/>
        <v>549406</v>
      </c>
      <c r="R16" s="180">
        <f t="shared" si="0"/>
        <v>490241</v>
      </c>
      <c r="S16" s="180">
        <f t="shared" si="0"/>
        <v>381419</v>
      </c>
      <c r="T16" s="132">
        <f>SUM(U16-V16)/V16</f>
        <v>0.4503572453477164</v>
      </c>
      <c r="U16" s="222">
        <f>SUM(U4:U8)</f>
        <v>197105</v>
      </c>
      <c r="V16" s="222">
        <f>SUM(V4:V8)</f>
        <v>135901</v>
      </c>
      <c r="W16" s="222">
        <f>SUM(W4:W8)</f>
        <v>118826</v>
      </c>
      <c r="X16" s="222">
        <f>SUM(X4:X8)</f>
        <v>134042</v>
      </c>
      <c r="Y16" s="222">
        <f>SUM(Y4:Y8)</f>
        <v>90458</v>
      </c>
      <c r="Z16" s="234">
        <f>SUM(AA16-AB16)/AB16</f>
        <v>0.1526404858895377</v>
      </c>
      <c r="AA16" s="121">
        <f>+O16+U16</f>
        <v>861593</v>
      </c>
      <c r="AB16" s="121">
        <f t="shared" si="1"/>
        <v>747495</v>
      </c>
      <c r="AC16" s="121">
        <f t="shared" si="2"/>
        <v>668232</v>
      </c>
      <c r="AD16" s="121">
        <f t="shared" si="3"/>
        <v>624283</v>
      </c>
      <c r="AE16" s="121">
        <f t="shared" si="4"/>
        <v>471877</v>
      </c>
    </row>
    <row r="17" spans="1:31" ht="12" thickBot="1">
      <c r="A17" s="226" t="s">
        <v>28</v>
      </c>
      <c r="B17" s="218">
        <f>C17/D17-1</f>
        <v>0.004185255843991875</v>
      </c>
      <c r="C17" s="223">
        <f>AVERAGE(C4:C15)</f>
        <v>67637.4</v>
      </c>
      <c r="D17" s="223">
        <f>AVERAGE(D4:D15)</f>
        <v>67355.5</v>
      </c>
      <c r="E17" s="223">
        <f>AVERAGE(E4:E15)</f>
        <v>56601.083333333336</v>
      </c>
      <c r="F17" s="223">
        <f>AVERAGE(F4:F15)</f>
        <v>51287.333333333336</v>
      </c>
      <c r="G17" s="223">
        <f>AVERAGE(G4:G15)</f>
        <v>47104.833333333336</v>
      </c>
      <c r="H17" s="119">
        <f>I17/J17-1</f>
        <v>0.10838447428610243</v>
      </c>
      <c r="I17" s="123">
        <f>AVERAGE(I4:I15)</f>
        <v>65260.2</v>
      </c>
      <c r="J17" s="123">
        <f>AVERAGE(J4:J15)</f>
        <v>58878.666666666664</v>
      </c>
      <c r="K17" s="123">
        <f>AVERAGE(K4:K15)</f>
        <v>54125.5</v>
      </c>
      <c r="L17" s="123">
        <f>AVERAGE(L4:L15)</f>
        <v>47517.166666666664</v>
      </c>
      <c r="M17" s="123">
        <f>AVERAGE(M4:M15)</f>
        <v>41573.833333333336</v>
      </c>
      <c r="N17" s="220">
        <f>O17/P17-1</f>
        <v>0.05278629002977264</v>
      </c>
      <c r="O17" s="180">
        <f>AVERAGE(O4:O15)</f>
        <v>132897.6</v>
      </c>
      <c r="P17" s="180">
        <f>AVERAGE(P4:P15)</f>
        <v>126234.16666666667</v>
      </c>
      <c r="Q17" s="180">
        <f>AVERAGE(Q4:Q15)</f>
        <v>110726.58333333333</v>
      </c>
      <c r="R17" s="180">
        <f>AVERAGE(R4:R15)</f>
        <v>98804.5</v>
      </c>
      <c r="S17" s="180">
        <f>AVERAGE(S4:S15)</f>
        <v>88678.66666666667</v>
      </c>
      <c r="T17" s="132">
        <f>SUM(U17-V17)/V17</f>
        <v>0.22329856064876827</v>
      </c>
      <c r="U17" s="222">
        <f>AVERAGE(U4:U15)</f>
        <v>39421</v>
      </c>
      <c r="V17" s="222">
        <f>AVERAGE(V4:V15)</f>
        <v>32225.166666666668</v>
      </c>
      <c r="W17" s="222">
        <f>AVERAGE(W4:W15)</f>
        <v>27867.416666666668</v>
      </c>
      <c r="X17" s="222">
        <f>AVERAGE(X4:X15)</f>
        <v>28013.833333333332</v>
      </c>
      <c r="Y17" s="222">
        <f>AVERAGE(Y4:Y15)</f>
        <v>21981.833333333332</v>
      </c>
      <c r="Z17" s="234">
        <f>SUM(AA17-AB17)/AB17</f>
        <v>0.06018996744604347</v>
      </c>
      <c r="AA17" s="121">
        <f>AVERAGE(AA4:AA15)</f>
        <v>172318.6</v>
      </c>
      <c r="AB17" s="121">
        <f>AVERAGE(AA4:AB15)</f>
        <v>162535.58823529413</v>
      </c>
      <c r="AC17" s="121">
        <f>AVERAGE(AB4:AC15)</f>
        <v>148526.66666666666</v>
      </c>
      <c r="AD17" s="121">
        <f>AVERAGE(AC4:AD15)</f>
        <v>132706.16666666666</v>
      </c>
      <c r="AE17" s="121">
        <f>AVERAGE(AD4:AE15)</f>
        <v>118739.41666666667</v>
      </c>
    </row>
    <row r="18" spans="2:28" ht="12.75">
      <c r="B18" s="2130" t="s">
        <v>102</v>
      </c>
      <c r="C18" s="2131"/>
      <c r="D18" s="2131"/>
      <c r="E18" s="2131"/>
      <c r="AA18" s="115"/>
      <c r="AB18" s="115"/>
    </row>
    <row r="19" ht="11.25">
      <c r="V19" s="3" t="s">
        <v>118</v>
      </c>
    </row>
  </sheetData>
  <mergeCells count="7">
    <mergeCell ref="B18:E18"/>
    <mergeCell ref="B1:Y1"/>
    <mergeCell ref="Z1:AE1"/>
    <mergeCell ref="B3:G3"/>
    <mergeCell ref="H3:M3"/>
    <mergeCell ref="N3:S3"/>
    <mergeCell ref="T3:Y3"/>
  </mergeCells>
  <hyperlinks>
    <hyperlink ref="B18" r:id="rId1" display="Georgia Ports Authority "/>
  </hyperlink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P34"/>
  <sheetViews>
    <sheetView workbookViewId="0" topLeftCell="A1">
      <pane xSplit="1" ySplit="4" topLeftCell="B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O21" sqref="A1:IV16384"/>
    </sheetView>
  </sheetViews>
  <sheetFormatPr defaultColWidth="9.140625" defaultRowHeight="12.75"/>
  <cols>
    <col min="1" max="1" width="23.8515625" style="0" customWidth="1"/>
    <col min="2" max="2" width="9.57421875" style="0" bestFit="1" customWidth="1"/>
    <col min="3" max="6" width="9.00390625" style="0" customWidth="1"/>
    <col min="7" max="14" width="8.7109375" style="0" customWidth="1"/>
    <col min="15" max="17" width="7.8515625" style="0" customWidth="1"/>
    <col min="18" max="18" width="9.57421875" style="0" bestFit="1" customWidth="1"/>
    <col min="19" max="23" width="9.00390625" style="0" customWidth="1"/>
    <col min="24" max="24" width="7.8515625" style="0" customWidth="1"/>
    <col min="25" max="33" width="6.57421875" style="0" customWidth="1"/>
    <col min="34" max="34" width="9.57421875" style="0" bestFit="1" customWidth="1"/>
    <col min="35" max="38" width="9.00390625" style="0" customWidth="1"/>
    <col min="39" max="39" width="11.421875" style="0" customWidth="1"/>
    <col min="40" max="45" width="8.7109375" style="0" customWidth="1"/>
    <col min="46" max="49" width="7.8515625" style="0" customWidth="1"/>
    <col min="50" max="50" width="9.57421875" style="0" bestFit="1" customWidth="1"/>
    <col min="51" max="55" width="9.00390625" style="0" customWidth="1"/>
    <col min="56" max="65" width="5.7109375" style="0" customWidth="1"/>
    <col min="66" max="66" width="9.57421875" style="10" bestFit="1" customWidth="1"/>
    <col min="67" max="70" width="9.00390625" style="10" customWidth="1"/>
    <col min="71" max="71" width="9.00390625" style="0" customWidth="1"/>
    <col min="72" max="80" width="7.8515625" style="0" customWidth="1"/>
    <col min="81" max="84" width="6.57421875" style="0" customWidth="1"/>
  </cols>
  <sheetData>
    <row r="1" spans="1:84" ht="13.5" thickTop="1">
      <c r="A1" s="1938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106"/>
      <c r="BO1" s="107"/>
      <c r="BP1" s="107"/>
      <c r="BQ1" s="107"/>
      <c r="BR1" s="10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8"/>
    </row>
    <row r="2" spans="1:84" ht="13.5" thickBot="1">
      <c r="A2" s="2147"/>
      <c r="B2" s="6" t="s">
        <v>30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08"/>
      <c r="BO2" s="109"/>
      <c r="BP2" s="109"/>
      <c r="BQ2" s="109"/>
      <c r="BR2" s="109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9"/>
    </row>
    <row r="3" spans="1:84" ht="13.5" thickBot="1">
      <c r="A3" s="2147"/>
      <c r="B3" s="2148" t="s">
        <v>31</v>
      </c>
      <c r="C3" s="2149"/>
      <c r="D3" s="2149"/>
      <c r="E3" s="2149"/>
      <c r="F3" s="2149"/>
      <c r="G3" s="2149"/>
      <c r="H3" s="2149"/>
      <c r="I3" s="2149"/>
      <c r="J3" s="2149"/>
      <c r="K3" s="2149"/>
      <c r="L3" s="2149"/>
      <c r="M3" s="2149"/>
      <c r="N3" s="2149"/>
      <c r="O3" s="2149"/>
      <c r="P3" s="2149"/>
      <c r="Q3" s="2150"/>
      <c r="R3" s="2151" t="s">
        <v>32</v>
      </c>
      <c r="S3" s="2152"/>
      <c r="T3" s="2152"/>
      <c r="U3" s="2152"/>
      <c r="V3" s="2152"/>
      <c r="W3" s="2152"/>
      <c r="X3" s="2152"/>
      <c r="Y3" s="2152"/>
      <c r="Z3" s="2152"/>
      <c r="AA3" s="2152"/>
      <c r="AB3" s="2152"/>
      <c r="AC3" s="2152"/>
      <c r="AD3" s="2152"/>
      <c r="AE3" s="2152"/>
      <c r="AF3" s="2152"/>
      <c r="AG3" s="2153"/>
      <c r="AH3" s="2154" t="s">
        <v>33</v>
      </c>
      <c r="AI3" s="2155"/>
      <c r="AJ3" s="2155"/>
      <c r="AK3" s="2155"/>
      <c r="AL3" s="2155"/>
      <c r="AM3" s="2155"/>
      <c r="AN3" s="2155"/>
      <c r="AO3" s="2155"/>
      <c r="AP3" s="2155"/>
      <c r="AQ3" s="2155"/>
      <c r="AR3" s="2155"/>
      <c r="AS3" s="2155"/>
      <c r="AT3" s="2155"/>
      <c r="AU3" s="2155"/>
      <c r="AV3" s="2155"/>
      <c r="AW3" s="2156"/>
      <c r="AX3" s="2157" t="s">
        <v>34</v>
      </c>
      <c r="AY3" s="2157"/>
      <c r="AZ3" s="2157"/>
      <c r="BA3" s="2157"/>
      <c r="BB3" s="2157"/>
      <c r="BC3" s="2157"/>
      <c r="BD3" s="2157"/>
      <c r="BE3" s="2157"/>
      <c r="BF3" s="2157"/>
      <c r="BG3" s="2157"/>
      <c r="BH3" s="2157"/>
      <c r="BI3" s="2157"/>
      <c r="BJ3" s="2157"/>
      <c r="BK3" s="2157"/>
      <c r="BL3" s="2157"/>
      <c r="BM3" s="2157"/>
      <c r="BN3" s="2148" t="s">
        <v>35</v>
      </c>
      <c r="BO3" s="2149"/>
      <c r="BP3" s="2149"/>
      <c r="BQ3" s="2149"/>
      <c r="BR3" s="2149"/>
      <c r="BS3" s="2149"/>
      <c r="BT3" s="2149"/>
      <c r="BU3" s="2149"/>
      <c r="BV3" s="2149"/>
      <c r="BW3" s="2149"/>
      <c r="BX3" s="2149"/>
      <c r="BY3" s="2149"/>
      <c r="BZ3" s="2149"/>
      <c r="CA3" s="2149"/>
      <c r="CB3" s="2149"/>
      <c r="CC3" s="2149"/>
      <c r="CD3" s="2149"/>
      <c r="CE3" s="2149"/>
      <c r="CF3" s="2150"/>
    </row>
    <row r="4" spans="1:120" ht="12.75" customHeight="1" thickBot="1">
      <c r="A4" s="2147"/>
      <c r="B4" s="59" t="s">
        <v>96</v>
      </c>
      <c r="C4" s="59" t="s">
        <v>97</v>
      </c>
      <c r="D4" s="59" t="s">
        <v>95</v>
      </c>
      <c r="E4" s="59">
        <v>2006</v>
      </c>
      <c r="F4" s="59">
        <v>2005</v>
      </c>
      <c r="G4" s="59">
        <v>2004</v>
      </c>
      <c r="H4" s="59">
        <v>2003</v>
      </c>
      <c r="I4" s="59">
        <v>2002</v>
      </c>
      <c r="J4" s="59" t="s">
        <v>36</v>
      </c>
      <c r="K4" s="59" t="s">
        <v>7</v>
      </c>
      <c r="L4" s="59" t="s">
        <v>8</v>
      </c>
      <c r="M4" s="59" t="s">
        <v>9</v>
      </c>
      <c r="N4" s="59" t="s">
        <v>10</v>
      </c>
      <c r="O4" s="59" t="s">
        <v>11</v>
      </c>
      <c r="P4" s="59">
        <v>1995</v>
      </c>
      <c r="Q4" s="59">
        <v>1994</v>
      </c>
      <c r="R4" s="60" t="s">
        <v>96</v>
      </c>
      <c r="S4" s="60" t="s">
        <v>97</v>
      </c>
      <c r="T4" s="60" t="s">
        <v>95</v>
      </c>
      <c r="U4" s="60">
        <v>2006</v>
      </c>
      <c r="V4" s="60">
        <v>2005</v>
      </c>
      <c r="W4" s="60">
        <v>2004</v>
      </c>
      <c r="X4" s="61">
        <v>2003</v>
      </c>
      <c r="Y4" s="61" t="s">
        <v>6</v>
      </c>
      <c r="Z4" s="61" t="s">
        <v>36</v>
      </c>
      <c r="AA4" s="61" t="s">
        <v>7</v>
      </c>
      <c r="AB4" s="61" t="s">
        <v>8</v>
      </c>
      <c r="AC4" s="61" t="s">
        <v>9</v>
      </c>
      <c r="AD4" s="61">
        <v>1997</v>
      </c>
      <c r="AE4" s="61" t="s">
        <v>11</v>
      </c>
      <c r="AF4" s="61">
        <v>1995</v>
      </c>
      <c r="AG4" s="61">
        <v>1994</v>
      </c>
      <c r="AH4" s="62" t="s">
        <v>96</v>
      </c>
      <c r="AI4" s="62" t="s">
        <v>97</v>
      </c>
      <c r="AJ4" s="62" t="s">
        <v>95</v>
      </c>
      <c r="AK4" s="62">
        <v>2005</v>
      </c>
      <c r="AL4" s="62">
        <v>2005</v>
      </c>
      <c r="AM4" s="63">
        <v>2004</v>
      </c>
      <c r="AN4" s="63">
        <v>2003</v>
      </c>
      <c r="AO4" s="63" t="s">
        <v>6</v>
      </c>
      <c r="AP4" s="63" t="s">
        <v>36</v>
      </c>
      <c r="AQ4" s="63" t="s">
        <v>7</v>
      </c>
      <c r="AR4" s="63" t="s">
        <v>8</v>
      </c>
      <c r="AS4" s="63" t="s">
        <v>9</v>
      </c>
      <c r="AT4" s="63">
        <v>1997</v>
      </c>
      <c r="AU4" s="63" t="s">
        <v>11</v>
      </c>
      <c r="AV4" s="63">
        <v>1995</v>
      </c>
      <c r="AW4" s="63">
        <v>1994</v>
      </c>
      <c r="AX4" s="64" t="s">
        <v>96</v>
      </c>
      <c r="AY4" s="64" t="s">
        <v>97</v>
      </c>
      <c r="AZ4" s="64" t="s">
        <v>95</v>
      </c>
      <c r="BA4" s="64">
        <v>2006</v>
      </c>
      <c r="BB4" s="64">
        <v>2005</v>
      </c>
      <c r="BC4" s="64">
        <v>2004</v>
      </c>
      <c r="BD4" s="64">
        <v>2003</v>
      </c>
      <c r="BE4" s="64" t="s">
        <v>6</v>
      </c>
      <c r="BF4" s="64" t="s">
        <v>36</v>
      </c>
      <c r="BG4" s="64" t="s">
        <v>7</v>
      </c>
      <c r="BH4" s="64" t="s">
        <v>8</v>
      </c>
      <c r="BI4" s="64" t="s">
        <v>9</v>
      </c>
      <c r="BJ4" s="64">
        <v>1997</v>
      </c>
      <c r="BK4" s="64" t="s">
        <v>11</v>
      </c>
      <c r="BL4" s="64">
        <v>1995</v>
      </c>
      <c r="BM4" s="65">
        <v>1994</v>
      </c>
      <c r="BN4" s="171" t="s">
        <v>96</v>
      </c>
      <c r="BO4" s="171" t="s">
        <v>97</v>
      </c>
      <c r="BP4" s="171" t="s">
        <v>95</v>
      </c>
      <c r="BQ4" s="171">
        <v>2006</v>
      </c>
      <c r="BR4" s="171">
        <v>2005</v>
      </c>
      <c r="BS4" s="59">
        <v>2004</v>
      </c>
      <c r="BT4" s="59">
        <v>2003</v>
      </c>
      <c r="BU4" s="59" t="s">
        <v>6</v>
      </c>
      <c r="BV4" s="59" t="s">
        <v>36</v>
      </c>
      <c r="BW4" s="59" t="s">
        <v>7</v>
      </c>
      <c r="BX4" s="59" t="s">
        <v>8</v>
      </c>
      <c r="BY4" s="59" t="s">
        <v>9</v>
      </c>
      <c r="BZ4" s="59" t="s">
        <v>10</v>
      </c>
      <c r="CA4" s="59" t="s">
        <v>11</v>
      </c>
      <c r="CB4" s="59">
        <v>1995</v>
      </c>
      <c r="CC4" s="59">
        <v>1994</v>
      </c>
      <c r="CD4" s="59" t="s">
        <v>37</v>
      </c>
      <c r="CE4" s="59" t="s">
        <v>38</v>
      </c>
      <c r="CF4" s="59" t="s">
        <v>39</v>
      </c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spans="1:84" ht="12.75">
      <c r="A5" s="49" t="s">
        <v>13</v>
      </c>
      <c r="B5" s="58">
        <f>SUM(E5-F5)/F5</f>
        <v>0.07903460658228864</v>
      </c>
      <c r="C5" s="25">
        <f>SUM(E5-D5)/D5</f>
        <v>0.29911680474161184</v>
      </c>
      <c r="D5" s="26">
        <f>AVERAGE(F5:J5)</f>
        <v>993687.4</v>
      </c>
      <c r="E5" s="27">
        <v>1290916</v>
      </c>
      <c r="F5" s="27">
        <v>1196362</v>
      </c>
      <c r="G5" s="27">
        <v>1049018</v>
      </c>
      <c r="H5" s="27">
        <v>1052137</v>
      </c>
      <c r="I5" s="27">
        <v>796255</v>
      </c>
      <c r="J5" s="27">
        <v>874665</v>
      </c>
      <c r="K5" s="27">
        <v>918466</v>
      </c>
      <c r="L5" s="27">
        <v>825625</v>
      </c>
      <c r="M5" s="27">
        <v>829037</v>
      </c>
      <c r="N5" s="27">
        <v>699981</v>
      </c>
      <c r="O5" s="27">
        <v>628325</v>
      </c>
      <c r="P5" s="27">
        <v>666927</v>
      </c>
      <c r="Q5" s="28">
        <v>552812</v>
      </c>
      <c r="R5" s="53">
        <f>SUM(U5-V5)/V5</f>
        <v>-0.06937702265372168</v>
      </c>
      <c r="S5" s="15">
        <f>SUM(U5-T5)/T5</f>
        <v>-0.07982862755380947</v>
      </c>
      <c r="T5" s="16">
        <f>AVERAGE(V5:Z5)</f>
        <v>45001.4</v>
      </c>
      <c r="U5" s="17">
        <v>41409</v>
      </c>
      <c r="V5" s="17">
        <v>44496</v>
      </c>
      <c r="W5" s="17">
        <v>41450</v>
      </c>
      <c r="X5" s="18">
        <v>50466</v>
      </c>
      <c r="Y5" s="18">
        <v>44531</v>
      </c>
      <c r="Z5" s="18">
        <v>44064</v>
      </c>
      <c r="AA5" s="18">
        <v>56604</v>
      </c>
      <c r="AB5" s="18">
        <v>74238</v>
      </c>
      <c r="AC5" s="18">
        <v>80506</v>
      </c>
      <c r="AD5" s="18">
        <v>57799</v>
      </c>
      <c r="AE5" s="18">
        <v>64346</v>
      </c>
      <c r="AF5" s="18">
        <v>70293</v>
      </c>
      <c r="AG5" s="18">
        <v>99679</v>
      </c>
      <c r="AH5" s="161">
        <f>SUM(AK5-AL5)/AL5</f>
        <v>0.07371270524105095</v>
      </c>
      <c r="AI5" s="19">
        <f>SUM(AK5-AJ5)/AJ5</f>
        <v>0.282698918097509</v>
      </c>
      <c r="AJ5" s="20">
        <f>AVERAGE(AL5:AP5)</f>
        <v>1038688.8</v>
      </c>
      <c r="AK5" s="21">
        <f>+E5+U5</f>
        <v>1332325</v>
      </c>
      <c r="AL5" s="21">
        <f>+F5+V5</f>
        <v>1240858</v>
      </c>
      <c r="AM5" s="21">
        <f>+G5+W5</f>
        <v>1090468</v>
      </c>
      <c r="AN5" s="21">
        <f>+H5+X5</f>
        <v>1102603</v>
      </c>
      <c r="AO5" s="21">
        <v>840786</v>
      </c>
      <c r="AP5" s="21">
        <v>918729</v>
      </c>
      <c r="AQ5" s="21">
        <v>975070</v>
      </c>
      <c r="AR5" s="21">
        <v>899863</v>
      </c>
      <c r="AS5" s="21">
        <v>909543</v>
      </c>
      <c r="AT5" s="21">
        <v>757780</v>
      </c>
      <c r="AU5" s="21">
        <v>692671</v>
      </c>
      <c r="AV5" s="21">
        <v>737220</v>
      </c>
      <c r="AW5" s="54">
        <v>652491</v>
      </c>
      <c r="AX5" s="91">
        <f>SUM(BA5-BB5)/BB5</f>
        <v>-0.0880893300248139</v>
      </c>
      <c r="AY5" s="22">
        <f>SUM(BA5-AZ5)/AZ5</f>
        <v>0.3362016725245424</v>
      </c>
      <c r="AZ5" s="23">
        <f>AVERAGE(BB5:BF5)</f>
        <v>1650.2</v>
      </c>
      <c r="BA5" s="24">
        <v>2205</v>
      </c>
      <c r="BB5" s="24">
        <v>2418</v>
      </c>
      <c r="BC5" s="24">
        <v>1817</v>
      </c>
      <c r="BD5" s="24">
        <v>1092</v>
      </c>
      <c r="BE5" s="24">
        <v>1399</v>
      </c>
      <c r="BF5" s="24">
        <v>1525</v>
      </c>
      <c r="BG5" s="24">
        <v>1580</v>
      </c>
      <c r="BH5" s="24">
        <v>1452</v>
      </c>
      <c r="BI5" s="24">
        <v>1176</v>
      </c>
      <c r="BJ5" s="24">
        <v>1164</v>
      </c>
      <c r="BK5" s="24">
        <v>966</v>
      </c>
      <c r="BL5" s="24">
        <v>1043</v>
      </c>
      <c r="BM5" s="66">
        <v>965</v>
      </c>
      <c r="BN5" s="52">
        <f>SUM(BQ5-BR5)/BR5</f>
        <v>0.11090815910852968</v>
      </c>
      <c r="BO5" s="29">
        <f>SUM(BQ5-BP5)/BP5</f>
        <v>0.3822867682165117</v>
      </c>
      <c r="BP5" s="30">
        <f>AVERAGE(BR5:BV5)</f>
        <v>122317.6</v>
      </c>
      <c r="BQ5" s="31">
        <v>169078</v>
      </c>
      <c r="BR5" s="31">
        <v>152198</v>
      </c>
      <c r="BS5" s="27">
        <v>128549</v>
      </c>
      <c r="BT5" s="27">
        <v>128246</v>
      </c>
      <c r="BU5" s="27">
        <v>94512</v>
      </c>
      <c r="BV5" s="27">
        <v>108083</v>
      </c>
      <c r="BW5" s="27">
        <v>106912</v>
      </c>
      <c r="BX5" s="27">
        <v>97805</v>
      </c>
      <c r="BY5" s="27">
        <v>100335</v>
      </c>
      <c r="BZ5" s="27">
        <v>86555</v>
      </c>
      <c r="CA5" s="27">
        <v>80584</v>
      </c>
      <c r="CB5" s="27">
        <v>83965</v>
      </c>
      <c r="CC5" s="27">
        <v>60035</v>
      </c>
      <c r="CD5" s="27">
        <v>58033</v>
      </c>
      <c r="CE5" s="27">
        <v>68958</v>
      </c>
      <c r="CF5" s="28">
        <v>66479</v>
      </c>
    </row>
    <row r="6" spans="1:84" ht="12.75">
      <c r="A6" s="50" t="s">
        <v>14</v>
      </c>
      <c r="B6" s="58">
        <f>SUM(E6-F6)/F6</f>
        <v>0.09271286520183507</v>
      </c>
      <c r="C6" s="25">
        <f>SUM(E6-D6)/D6</f>
        <v>0.2574452920696512</v>
      </c>
      <c r="D6" s="26">
        <f aca="true" t="shared" si="0" ref="D6:D18">AVERAGE(F6:J6)</f>
        <v>989719.4</v>
      </c>
      <c r="E6" s="31">
        <v>1244518</v>
      </c>
      <c r="F6" s="31">
        <v>1138925</v>
      </c>
      <c r="G6" s="31">
        <v>1097603</v>
      </c>
      <c r="H6" s="31">
        <v>924053</v>
      </c>
      <c r="I6" s="31">
        <v>878415</v>
      </c>
      <c r="J6" s="31">
        <v>909601</v>
      </c>
      <c r="K6" s="31">
        <v>876275</v>
      </c>
      <c r="L6" s="31">
        <v>848866</v>
      </c>
      <c r="M6" s="31">
        <v>794716</v>
      </c>
      <c r="N6" s="31">
        <v>761463</v>
      </c>
      <c r="O6" s="31">
        <v>706716</v>
      </c>
      <c r="P6" s="31">
        <v>635473</v>
      </c>
      <c r="Q6" s="40">
        <v>506668</v>
      </c>
      <c r="R6" s="53">
        <f>SUM(U6-V6)/V6</f>
        <v>0.5972086107262343</v>
      </c>
      <c r="S6" s="15">
        <f>SUM(U6-T6)/T6</f>
        <v>0.283476626783474</v>
      </c>
      <c r="T6" s="16">
        <f aca="true" t="shared" si="1" ref="T6:T18">AVERAGE(V6:Z6)</f>
        <v>36824.2</v>
      </c>
      <c r="U6" s="33">
        <v>47263</v>
      </c>
      <c r="V6" s="33">
        <v>29591</v>
      </c>
      <c r="W6" s="34">
        <v>37488</v>
      </c>
      <c r="X6" s="34">
        <v>39244</v>
      </c>
      <c r="Y6" s="34">
        <v>34207</v>
      </c>
      <c r="Z6" s="34">
        <v>43591</v>
      </c>
      <c r="AA6" s="34">
        <v>48975</v>
      </c>
      <c r="AB6" s="34">
        <v>65617</v>
      </c>
      <c r="AC6" s="34">
        <v>50438</v>
      </c>
      <c r="AD6" s="34">
        <v>45266</v>
      </c>
      <c r="AE6" s="34">
        <v>61850</v>
      </c>
      <c r="AF6" s="34">
        <v>82467</v>
      </c>
      <c r="AG6" s="34">
        <v>90444</v>
      </c>
      <c r="AH6" s="161">
        <f>SUM(AK6-AL6)/AL6</f>
        <v>0.1054884999435181</v>
      </c>
      <c r="AI6" s="19">
        <f>SUM(AK6-AJ6)/AJ6</f>
        <v>0.2583790888180493</v>
      </c>
      <c r="AJ6" s="20">
        <f>AVERAGE(AL6:AP6)</f>
        <v>1026543.6</v>
      </c>
      <c r="AK6" s="21">
        <f>+E6+U6</f>
        <v>1291781</v>
      </c>
      <c r="AL6" s="36">
        <f aca="true" t="shared" si="2" ref="AL6:AL16">+F6+V6</f>
        <v>1168516</v>
      </c>
      <c r="AM6" s="36">
        <f aca="true" t="shared" si="3" ref="AM6:AM16">+G6+W6</f>
        <v>1135091</v>
      </c>
      <c r="AN6" s="36">
        <f aca="true" t="shared" si="4" ref="AN6:AN17">+H6+X6</f>
        <v>963297</v>
      </c>
      <c r="AO6" s="36">
        <v>912622</v>
      </c>
      <c r="AP6" s="36">
        <v>953192</v>
      </c>
      <c r="AQ6" s="36">
        <v>925250</v>
      </c>
      <c r="AR6" s="36">
        <v>914483</v>
      </c>
      <c r="AS6" s="36">
        <v>845154</v>
      </c>
      <c r="AT6" s="36">
        <v>806729</v>
      </c>
      <c r="AU6" s="36">
        <v>768566</v>
      </c>
      <c r="AV6" s="36">
        <v>717940</v>
      </c>
      <c r="AW6" s="56">
        <v>597112</v>
      </c>
      <c r="AX6" s="91">
        <f>SUM(BA6-BB6)/BB6</f>
        <v>0.017987152034261242</v>
      </c>
      <c r="AY6" s="22">
        <f>SUM(BA6-AZ6)/AZ6</f>
        <v>0.4007071302298173</v>
      </c>
      <c r="AZ6" s="23">
        <f aca="true" t="shared" si="5" ref="AZ6:AZ18">AVERAGE(BB6:BF6)</f>
        <v>1697</v>
      </c>
      <c r="BA6" s="39">
        <v>2377</v>
      </c>
      <c r="BB6" s="39">
        <v>2335</v>
      </c>
      <c r="BC6" s="39">
        <v>2058</v>
      </c>
      <c r="BD6" s="39">
        <v>1007</v>
      </c>
      <c r="BE6" s="39">
        <v>1279</v>
      </c>
      <c r="BF6" s="39">
        <v>1806</v>
      </c>
      <c r="BG6" s="39">
        <v>1795</v>
      </c>
      <c r="BH6" s="39">
        <v>1579</v>
      </c>
      <c r="BI6" s="39">
        <v>1009</v>
      </c>
      <c r="BJ6" s="39">
        <v>1043</v>
      </c>
      <c r="BK6" s="39">
        <v>998</v>
      </c>
      <c r="BL6" s="39">
        <v>1147</v>
      </c>
      <c r="BM6" s="67">
        <v>1128</v>
      </c>
      <c r="BN6" s="52">
        <f>SUM(BQ6-BR6)/BR6</f>
        <v>0.12370956285471936</v>
      </c>
      <c r="BO6" s="29">
        <f>SUM(BQ6-BP6)/BP6</f>
        <v>0.3682462218475371</v>
      </c>
      <c r="BP6" s="30">
        <f aca="true" t="shared" si="6" ref="BP6:BP18">AVERAGE(BR6:BV6)</f>
        <v>119092.6</v>
      </c>
      <c r="BQ6" s="31">
        <v>162948</v>
      </c>
      <c r="BR6" s="31">
        <v>145009</v>
      </c>
      <c r="BS6" s="31">
        <v>133893</v>
      </c>
      <c r="BT6" s="31">
        <v>108269</v>
      </c>
      <c r="BU6" s="31">
        <v>101889</v>
      </c>
      <c r="BV6" s="31">
        <v>106403</v>
      </c>
      <c r="BW6" s="31">
        <v>97677</v>
      </c>
      <c r="BX6" s="31">
        <v>100366</v>
      </c>
      <c r="BY6" s="31">
        <v>94618</v>
      </c>
      <c r="BZ6" s="31">
        <v>93583</v>
      </c>
      <c r="CA6" s="31">
        <v>90267</v>
      </c>
      <c r="CB6" s="31">
        <v>77318</v>
      </c>
      <c r="CC6" s="31">
        <v>65033</v>
      </c>
      <c r="CD6" s="31">
        <v>62622</v>
      </c>
      <c r="CE6" s="31">
        <v>64356</v>
      </c>
      <c r="CF6" s="40">
        <v>68878</v>
      </c>
    </row>
    <row r="7" spans="1:84" ht="12.75">
      <c r="A7" s="50" t="s">
        <v>15</v>
      </c>
      <c r="B7" s="58">
        <f>SUM(E7-F7)/F7</f>
        <v>0.08399569320530943</v>
      </c>
      <c r="C7" s="25">
        <f>SUM(E7-D7)/D7</f>
        <v>0.204137320634071</v>
      </c>
      <c r="D7" s="26">
        <f t="shared" si="0"/>
        <v>1159668.4</v>
      </c>
      <c r="E7" s="31">
        <v>1396400</v>
      </c>
      <c r="F7" s="31">
        <v>1288197</v>
      </c>
      <c r="G7" s="31">
        <v>1272282</v>
      </c>
      <c r="H7" s="31">
        <v>1210107</v>
      </c>
      <c r="I7" s="31">
        <v>1023520</v>
      </c>
      <c r="J7" s="31">
        <v>1004236</v>
      </c>
      <c r="K7" s="31">
        <v>1050119</v>
      </c>
      <c r="L7" s="31">
        <v>965401</v>
      </c>
      <c r="M7" s="31">
        <v>989659</v>
      </c>
      <c r="N7" s="31">
        <v>926686</v>
      </c>
      <c r="O7" s="31">
        <v>829137</v>
      </c>
      <c r="P7" s="31">
        <v>713432</v>
      </c>
      <c r="Q7" s="40">
        <v>621243</v>
      </c>
      <c r="R7" s="53">
        <f>SUM(U7-V7)/V7</f>
        <v>0.0046876350125291625</v>
      </c>
      <c r="S7" s="15">
        <f>SUM(U7-T7)/T7</f>
        <v>-0.03473853740338882</v>
      </c>
      <c r="T7" s="16">
        <f t="shared" si="1"/>
        <v>48182.8</v>
      </c>
      <c r="U7" s="33">
        <v>46509</v>
      </c>
      <c r="V7" s="33">
        <v>46292</v>
      </c>
      <c r="W7" s="34">
        <v>52265</v>
      </c>
      <c r="X7" s="34">
        <v>65966</v>
      </c>
      <c r="Y7" s="34">
        <v>35124</v>
      </c>
      <c r="Z7" s="34">
        <v>41267</v>
      </c>
      <c r="AA7" s="34">
        <v>62729</v>
      </c>
      <c r="AB7" s="34">
        <v>56629</v>
      </c>
      <c r="AC7" s="34">
        <v>63586</v>
      </c>
      <c r="AD7" s="34">
        <v>66124</v>
      </c>
      <c r="AE7" s="34">
        <v>56293</v>
      </c>
      <c r="AF7" s="34">
        <v>64373</v>
      </c>
      <c r="AG7" s="34">
        <v>70782</v>
      </c>
      <c r="AH7" s="161">
        <f>SUM(AK7-AL7)/AL7</f>
        <v>0.0812445812591936</v>
      </c>
      <c r="AI7" s="19">
        <f>SUM(AK7-AJ7)/AJ7</f>
        <v>0.19460824313458483</v>
      </c>
      <c r="AJ7" s="20">
        <f>AVERAGE(AL7:AP7)</f>
        <v>1207851.2</v>
      </c>
      <c r="AK7" s="21">
        <f>+E7+U7</f>
        <v>1442909</v>
      </c>
      <c r="AL7" s="36">
        <f t="shared" si="2"/>
        <v>1334489</v>
      </c>
      <c r="AM7" s="36">
        <f t="shared" si="3"/>
        <v>1324547</v>
      </c>
      <c r="AN7" s="36">
        <f t="shared" si="4"/>
        <v>1276073</v>
      </c>
      <c r="AO7" s="36">
        <v>1058644</v>
      </c>
      <c r="AP7" s="36">
        <v>1045503</v>
      </c>
      <c r="AQ7" s="36">
        <v>1112848</v>
      </c>
      <c r="AR7" s="36">
        <v>1022030</v>
      </c>
      <c r="AS7" s="36">
        <v>1053245</v>
      </c>
      <c r="AT7" s="36">
        <v>992810</v>
      </c>
      <c r="AU7" s="36">
        <v>885430</v>
      </c>
      <c r="AV7" s="36">
        <v>777805</v>
      </c>
      <c r="AW7" s="56">
        <v>692025</v>
      </c>
      <c r="AX7" s="91">
        <f>SUM(BA7-BB7)/BB7</f>
        <v>-0.10242587601078167</v>
      </c>
      <c r="AY7" s="22">
        <f>SUM(BA7-AZ7)/AZ7</f>
        <v>0.3049867737826981</v>
      </c>
      <c r="AZ7" s="23">
        <f t="shared" si="5"/>
        <v>2041.4</v>
      </c>
      <c r="BA7" s="39">
        <v>2664</v>
      </c>
      <c r="BB7" s="39">
        <v>2968</v>
      </c>
      <c r="BC7" s="39">
        <v>2273</v>
      </c>
      <c r="BD7" s="39">
        <v>1457</v>
      </c>
      <c r="BE7" s="39">
        <v>1666</v>
      </c>
      <c r="BF7" s="39">
        <v>1843</v>
      </c>
      <c r="BG7" s="39">
        <v>1753</v>
      </c>
      <c r="BH7" s="39">
        <v>1853</v>
      </c>
      <c r="BI7" s="39">
        <v>1433</v>
      </c>
      <c r="BJ7" s="39">
        <v>1295</v>
      </c>
      <c r="BK7" s="39">
        <v>1088</v>
      </c>
      <c r="BL7" s="39">
        <v>1405</v>
      </c>
      <c r="BM7" s="67">
        <v>1161</v>
      </c>
      <c r="BN7" s="52">
        <f>SUM(BQ7-BR7)/BR7</f>
        <v>0.061348444861011764</v>
      </c>
      <c r="BO7" s="29">
        <f>SUM(BQ7-BP7)/BP7</f>
        <v>0.24467048097282168</v>
      </c>
      <c r="BP7" s="30">
        <f t="shared" si="6"/>
        <v>138286.4</v>
      </c>
      <c r="BQ7" s="31">
        <v>172121</v>
      </c>
      <c r="BR7" s="31">
        <v>162172</v>
      </c>
      <c r="BS7" s="31">
        <v>152205</v>
      </c>
      <c r="BT7" s="31">
        <v>139749</v>
      </c>
      <c r="BU7" s="31">
        <v>116448</v>
      </c>
      <c r="BV7" s="31">
        <v>120858</v>
      </c>
      <c r="BW7" s="31">
        <v>118504</v>
      </c>
      <c r="BX7" s="31">
        <v>111697</v>
      </c>
      <c r="BY7" s="31">
        <v>117450</v>
      </c>
      <c r="BZ7" s="31">
        <v>111027</v>
      </c>
      <c r="CA7" s="31">
        <v>104232</v>
      </c>
      <c r="CB7" s="31">
        <v>93339</v>
      </c>
      <c r="CC7" s="31">
        <v>77469</v>
      </c>
      <c r="CD7" s="31">
        <v>72713</v>
      </c>
      <c r="CE7" s="31">
        <v>76264</v>
      </c>
      <c r="CF7" s="40">
        <v>74475</v>
      </c>
    </row>
    <row r="8" spans="1:84" ht="12.75">
      <c r="A8" s="50" t="s">
        <v>16</v>
      </c>
      <c r="B8" s="58">
        <f>SUM(E8-F8)/F8</f>
        <v>0.007420998477051176</v>
      </c>
      <c r="C8" s="25">
        <f>SUM(E8-D8)/D8</f>
        <v>0.16224232344629996</v>
      </c>
      <c r="D8" s="26">
        <f t="shared" si="0"/>
        <v>1122938.8</v>
      </c>
      <c r="E8" s="31">
        <v>1305127</v>
      </c>
      <c r="F8" s="31">
        <v>1295513</v>
      </c>
      <c r="G8" s="31">
        <v>1119581</v>
      </c>
      <c r="H8" s="31">
        <v>1221955</v>
      </c>
      <c r="I8" s="31">
        <v>1026488</v>
      </c>
      <c r="J8" s="31">
        <v>951157</v>
      </c>
      <c r="K8" s="31">
        <v>975672</v>
      </c>
      <c r="L8" s="31">
        <v>961236</v>
      </c>
      <c r="M8" s="31">
        <v>900668</v>
      </c>
      <c r="N8" s="31">
        <v>898020</v>
      </c>
      <c r="O8" s="31">
        <v>711570</v>
      </c>
      <c r="P8" s="31">
        <v>785024</v>
      </c>
      <c r="Q8" s="40">
        <v>593833</v>
      </c>
      <c r="R8" s="53">
        <f>SUM(U8-V8)/V8</f>
        <v>-0.22999557913351018</v>
      </c>
      <c r="S8" s="15">
        <f>SUM(U8-T8)/T8</f>
        <v>-0.2454665176444086</v>
      </c>
      <c r="T8" s="16">
        <f t="shared" si="1"/>
        <v>46167.6</v>
      </c>
      <c r="U8" s="33">
        <v>34835</v>
      </c>
      <c r="V8" s="33">
        <v>45240</v>
      </c>
      <c r="W8" s="34">
        <v>53601</v>
      </c>
      <c r="X8" s="34">
        <v>42850</v>
      </c>
      <c r="Y8" s="34">
        <v>56837</v>
      </c>
      <c r="Z8" s="34">
        <v>32310</v>
      </c>
      <c r="AA8" s="34">
        <v>35155</v>
      </c>
      <c r="AB8" s="34">
        <v>51739</v>
      </c>
      <c r="AC8" s="34">
        <v>51219</v>
      </c>
      <c r="AD8" s="34">
        <v>42056</v>
      </c>
      <c r="AE8" s="34">
        <v>65070</v>
      </c>
      <c r="AF8" s="34">
        <v>80301</v>
      </c>
      <c r="AG8" s="34">
        <v>66126</v>
      </c>
      <c r="AH8" s="161">
        <f>SUM(AK8-AL8)/AL8</f>
        <v>-0.0005899669812411384</v>
      </c>
      <c r="AI8" s="19">
        <f>SUM(AK8-AJ8)/AJ8</f>
        <v>0.14614204489856536</v>
      </c>
      <c r="AJ8" s="20">
        <f>AVERAGE(AL8:AP8)</f>
        <v>1169106.4</v>
      </c>
      <c r="AK8" s="21">
        <f>+E8+U8</f>
        <v>1339962</v>
      </c>
      <c r="AL8" s="36">
        <f t="shared" si="2"/>
        <v>1340753</v>
      </c>
      <c r="AM8" s="36">
        <f t="shared" si="3"/>
        <v>1173182</v>
      </c>
      <c r="AN8" s="36">
        <f t="shared" si="4"/>
        <v>1264805</v>
      </c>
      <c r="AO8" s="36">
        <v>1083325</v>
      </c>
      <c r="AP8" s="36">
        <v>983467</v>
      </c>
      <c r="AQ8" s="36">
        <v>1010827</v>
      </c>
      <c r="AR8" s="36">
        <v>1012975</v>
      </c>
      <c r="AS8" s="36">
        <v>951887</v>
      </c>
      <c r="AT8" s="36">
        <v>940076</v>
      </c>
      <c r="AU8" s="36">
        <v>776640</v>
      </c>
      <c r="AV8" s="36">
        <v>865325</v>
      </c>
      <c r="AW8" s="56">
        <v>659959</v>
      </c>
      <c r="AX8" s="170"/>
      <c r="AY8" s="37"/>
      <c r="AZ8" s="23">
        <f t="shared" si="5"/>
        <v>2141.2</v>
      </c>
      <c r="BA8" s="39"/>
      <c r="BB8" s="39">
        <v>3062</v>
      </c>
      <c r="BC8" s="39">
        <v>2598</v>
      </c>
      <c r="BD8" s="39">
        <v>1566</v>
      </c>
      <c r="BE8" s="39">
        <v>2042</v>
      </c>
      <c r="BF8" s="39">
        <v>1438</v>
      </c>
      <c r="BG8" s="39">
        <v>1532</v>
      </c>
      <c r="BH8" s="39">
        <v>1575</v>
      </c>
      <c r="BI8" s="39">
        <v>1352</v>
      </c>
      <c r="BJ8" s="39">
        <v>1320</v>
      </c>
      <c r="BK8" s="39">
        <v>1345</v>
      </c>
      <c r="BL8" s="39">
        <v>1178</v>
      </c>
      <c r="BM8" s="67">
        <v>972</v>
      </c>
      <c r="BN8" s="52">
        <f>SUM(BQ8-BR8)/BR8</f>
        <v>0.00992643692194988</v>
      </c>
      <c r="BO8" s="29">
        <f>SUM(BQ8-BP8)/BP8</f>
        <v>0.2341710297204909</v>
      </c>
      <c r="BP8" s="30">
        <f t="shared" si="6"/>
        <v>134042.2</v>
      </c>
      <c r="BQ8" s="31">
        <v>165431</v>
      </c>
      <c r="BR8" s="31">
        <v>163805</v>
      </c>
      <c r="BS8" s="31">
        <v>139616</v>
      </c>
      <c r="BT8" s="31">
        <v>143670</v>
      </c>
      <c r="BU8" s="31">
        <v>115057</v>
      </c>
      <c r="BV8" s="31">
        <v>108063</v>
      </c>
      <c r="BW8" s="31">
        <v>112279</v>
      </c>
      <c r="BX8" s="31">
        <v>110601</v>
      </c>
      <c r="BY8" s="31">
        <v>107289</v>
      </c>
      <c r="BZ8" s="31">
        <v>111476</v>
      </c>
      <c r="CA8" s="31">
        <v>93074</v>
      </c>
      <c r="CB8" s="31">
        <v>99562</v>
      </c>
      <c r="CC8" s="31">
        <v>75927</v>
      </c>
      <c r="CD8" s="31">
        <v>68202</v>
      </c>
      <c r="CE8" s="31">
        <v>72499</v>
      </c>
      <c r="CF8" s="40">
        <v>73326</v>
      </c>
    </row>
    <row r="9" spans="1:84" ht="12.75">
      <c r="A9" s="50" t="s">
        <v>17</v>
      </c>
      <c r="B9" s="52">
        <f>SUM(E9-F9)/F9</f>
        <v>0.02571453071314098</v>
      </c>
      <c r="C9" s="29">
        <f>SUM(E9-D9)/D9</f>
        <v>0.20853389744739423</v>
      </c>
      <c r="D9" s="26">
        <f t="shared" si="0"/>
        <v>1148136.6</v>
      </c>
      <c r="E9" s="31">
        <v>1387562</v>
      </c>
      <c r="F9" s="31">
        <v>1352776</v>
      </c>
      <c r="G9" s="31">
        <v>1249276</v>
      </c>
      <c r="H9" s="31">
        <v>1115972</v>
      </c>
      <c r="I9" s="31">
        <v>1056028</v>
      </c>
      <c r="J9" s="31">
        <v>966631</v>
      </c>
      <c r="K9" s="31">
        <v>942945</v>
      </c>
      <c r="L9" s="31">
        <v>989937</v>
      </c>
      <c r="M9" s="31">
        <v>936057</v>
      </c>
      <c r="N9" s="31">
        <v>925541</v>
      </c>
      <c r="O9" s="31">
        <v>778386</v>
      </c>
      <c r="P9" s="31">
        <v>746709</v>
      </c>
      <c r="Q9" s="40">
        <v>563084</v>
      </c>
      <c r="R9" s="55">
        <f>SUM(U9-V9)/V9</f>
        <v>-0.10969157906896153</v>
      </c>
      <c r="S9" s="32">
        <f>SUM(U9-T9)/T9</f>
        <v>-0.1671637275242047</v>
      </c>
      <c r="T9" s="16">
        <f t="shared" si="1"/>
        <v>46272</v>
      </c>
      <c r="U9" s="33">
        <v>38537</v>
      </c>
      <c r="V9" s="33">
        <v>43285</v>
      </c>
      <c r="W9" s="34">
        <v>50799</v>
      </c>
      <c r="X9" s="34">
        <v>54616</v>
      </c>
      <c r="Y9" s="34">
        <v>47558</v>
      </c>
      <c r="Z9" s="34">
        <v>35102</v>
      </c>
      <c r="AA9" s="34">
        <v>58318</v>
      </c>
      <c r="AB9" s="34">
        <v>38494</v>
      </c>
      <c r="AC9" s="34">
        <v>57899</v>
      </c>
      <c r="AD9" s="34">
        <v>60131</v>
      </c>
      <c r="AE9" s="34">
        <v>41706</v>
      </c>
      <c r="AF9" s="34">
        <v>68953</v>
      </c>
      <c r="AG9" s="34">
        <v>84728</v>
      </c>
      <c r="AH9" s="169">
        <f>SUM(AK9-AL9)/AL9</f>
        <v>0.021516251797020332</v>
      </c>
      <c r="AI9" s="35">
        <f>SUM(AK9-AJ9)/AJ9</f>
        <v>0.19397917931937186</v>
      </c>
      <c r="AJ9" s="20">
        <f aca="true" t="shared" si="7" ref="AJ9:AJ18">AVERAGE(AL9:AP9)</f>
        <v>1194408.6</v>
      </c>
      <c r="AK9" s="41">
        <f>+E9+U9</f>
        <v>1426099</v>
      </c>
      <c r="AL9" s="41">
        <f t="shared" si="2"/>
        <v>1396061</v>
      </c>
      <c r="AM9" s="36">
        <f t="shared" si="3"/>
        <v>1300075</v>
      </c>
      <c r="AN9" s="36">
        <f t="shared" si="4"/>
        <v>1170588</v>
      </c>
      <c r="AO9" s="36">
        <v>1103586</v>
      </c>
      <c r="AP9" s="36">
        <v>1001733</v>
      </c>
      <c r="AQ9" s="36">
        <v>1001263</v>
      </c>
      <c r="AR9" s="36">
        <v>1028431</v>
      </c>
      <c r="AS9" s="36">
        <v>993956</v>
      </c>
      <c r="AT9" s="36">
        <v>985672</v>
      </c>
      <c r="AU9" s="36">
        <v>820092</v>
      </c>
      <c r="AV9" s="36">
        <v>815662</v>
      </c>
      <c r="AW9" s="56">
        <v>647812</v>
      </c>
      <c r="AX9" s="170"/>
      <c r="AY9" s="37"/>
      <c r="AZ9" s="23">
        <f t="shared" si="5"/>
        <v>1853.4</v>
      </c>
      <c r="BA9" s="39"/>
      <c r="BB9" s="39">
        <v>2963</v>
      </c>
      <c r="BC9" s="39">
        <v>2417</v>
      </c>
      <c r="BD9" s="39">
        <v>1088</v>
      </c>
      <c r="BE9" s="39">
        <v>1436</v>
      </c>
      <c r="BF9" s="39">
        <v>1363</v>
      </c>
      <c r="BG9" s="39">
        <v>1443</v>
      </c>
      <c r="BH9" s="39">
        <v>1599</v>
      </c>
      <c r="BI9" s="39">
        <v>1036</v>
      </c>
      <c r="BJ9" s="39">
        <v>1067</v>
      </c>
      <c r="BK9" s="39">
        <v>1130</v>
      </c>
      <c r="BL9" s="39">
        <v>1133</v>
      </c>
      <c r="BM9" s="67">
        <v>1067</v>
      </c>
      <c r="BN9" s="52">
        <f>SUM(BQ9-BR9)/BR9</f>
        <v>0.03688348050829205</v>
      </c>
      <c r="BO9" s="29">
        <f>SUM(BQ9-BP9)/BP9</f>
        <v>0.27318447081224984</v>
      </c>
      <c r="BP9" s="30">
        <f t="shared" si="6"/>
        <v>136125.6</v>
      </c>
      <c r="BQ9" s="31">
        <v>173313</v>
      </c>
      <c r="BR9" s="31">
        <v>167148</v>
      </c>
      <c r="BS9" s="31">
        <v>152928</v>
      </c>
      <c r="BT9" s="31">
        <v>130617</v>
      </c>
      <c r="BU9" s="31">
        <v>118223</v>
      </c>
      <c r="BV9" s="31">
        <v>111712</v>
      </c>
      <c r="BW9" s="31">
        <v>109296</v>
      </c>
      <c r="BX9" s="31">
        <v>110647</v>
      </c>
      <c r="BY9" s="31">
        <v>112338</v>
      </c>
      <c r="BZ9" s="31">
        <v>113283</v>
      </c>
      <c r="CA9" s="31">
        <v>98467</v>
      </c>
      <c r="CB9" s="31">
        <v>97228</v>
      </c>
      <c r="CC9" s="31">
        <v>73216</v>
      </c>
      <c r="CD9" s="31">
        <v>68894</v>
      </c>
      <c r="CE9" s="31">
        <v>76103</v>
      </c>
      <c r="CF9" s="40">
        <v>76201</v>
      </c>
    </row>
    <row r="10" spans="1:84" ht="12.75">
      <c r="A10" s="50" t="s">
        <v>18</v>
      </c>
      <c r="B10" s="52"/>
      <c r="C10" s="29"/>
      <c r="D10" s="26">
        <f t="shared" si="0"/>
        <v>1097621</v>
      </c>
      <c r="E10" s="31"/>
      <c r="F10" s="31">
        <v>1276121</v>
      </c>
      <c r="G10" s="31">
        <v>1189448</v>
      </c>
      <c r="H10" s="31">
        <v>1149252</v>
      </c>
      <c r="I10" s="31">
        <v>977165</v>
      </c>
      <c r="J10" s="31">
        <v>896119</v>
      </c>
      <c r="K10" s="31">
        <v>921609</v>
      </c>
      <c r="L10" s="31">
        <v>941470</v>
      </c>
      <c r="M10" s="31">
        <v>874808</v>
      </c>
      <c r="N10" s="31">
        <v>842998</v>
      </c>
      <c r="O10" s="31">
        <v>734088</v>
      </c>
      <c r="P10" s="31">
        <v>696670</v>
      </c>
      <c r="Q10" s="40">
        <v>573614</v>
      </c>
      <c r="R10" s="55"/>
      <c r="S10" s="32"/>
      <c r="T10" s="16">
        <f t="shared" si="1"/>
        <v>53053.8</v>
      </c>
      <c r="U10" s="33"/>
      <c r="V10" s="33">
        <v>63622</v>
      </c>
      <c r="W10" s="34">
        <v>58407</v>
      </c>
      <c r="X10" s="34">
        <v>58637</v>
      </c>
      <c r="Y10" s="34">
        <v>49491</v>
      </c>
      <c r="Z10" s="34">
        <v>35112</v>
      </c>
      <c r="AA10" s="34">
        <v>59562</v>
      </c>
      <c r="AB10" s="34">
        <v>57321</v>
      </c>
      <c r="AC10" s="34">
        <v>52547</v>
      </c>
      <c r="AD10" s="34">
        <v>35663</v>
      </c>
      <c r="AE10" s="34">
        <v>44564</v>
      </c>
      <c r="AF10" s="34">
        <v>52167</v>
      </c>
      <c r="AG10" s="34">
        <v>54972</v>
      </c>
      <c r="AH10" s="169"/>
      <c r="AI10" s="35"/>
      <c r="AJ10" s="20">
        <f t="shared" si="7"/>
        <v>1150674.8</v>
      </c>
      <c r="AK10" s="41"/>
      <c r="AL10" s="41">
        <f t="shared" si="2"/>
        <v>1339743</v>
      </c>
      <c r="AM10" s="36">
        <f t="shared" si="3"/>
        <v>1247855</v>
      </c>
      <c r="AN10" s="36">
        <f t="shared" si="4"/>
        <v>1207889</v>
      </c>
      <c r="AO10" s="36">
        <v>1026656</v>
      </c>
      <c r="AP10" s="36">
        <v>931231</v>
      </c>
      <c r="AQ10" s="36">
        <v>981171</v>
      </c>
      <c r="AR10" s="36">
        <v>998791</v>
      </c>
      <c r="AS10" s="36">
        <v>927355</v>
      </c>
      <c r="AT10" s="36">
        <v>878661</v>
      </c>
      <c r="AU10" s="36">
        <v>778652</v>
      </c>
      <c r="AV10" s="36">
        <v>748837</v>
      </c>
      <c r="AW10" s="56">
        <v>628586</v>
      </c>
      <c r="AX10" s="170"/>
      <c r="AY10" s="37"/>
      <c r="AZ10" s="23">
        <f t="shared" si="5"/>
        <v>1807</v>
      </c>
      <c r="BA10" s="39"/>
      <c r="BB10" s="39">
        <v>3249</v>
      </c>
      <c r="BC10" s="39">
        <v>2629</v>
      </c>
      <c r="BD10" s="39">
        <v>880</v>
      </c>
      <c r="BE10" s="39">
        <v>1008</v>
      </c>
      <c r="BF10" s="39">
        <v>1269</v>
      </c>
      <c r="BG10" s="39">
        <v>1481</v>
      </c>
      <c r="BH10" s="39">
        <v>1683</v>
      </c>
      <c r="BI10" s="39">
        <v>1379</v>
      </c>
      <c r="BJ10" s="39">
        <v>1142</v>
      </c>
      <c r="BK10" s="39">
        <v>1216</v>
      </c>
      <c r="BL10" s="39">
        <v>1001</v>
      </c>
      <c r="BM10" s="67">
        <v>1131</v>
      </c>
      <c r="BN10" s="52"/>
      <c r="BO10" s="29"/>
      <c r="BP10" s="30">
        <f t="shared" si="6"/>
        <v>132691.8</v>
      </c>
      <c r="BQ10" s="31"/>
      <c r="BR10" s="31">
        <v>156959</v>
      </c>
      <c r="BS10" s="31">
        <v>149007</v>
      </c>
      <c r="BT10" s="31">
        <v>138424</v>
      </c>
      <c r="BU10" s="31">
        <v>112862</v>
      </c>
      <c r="BV10" s="31">
        <v>106207</v>
      </c>
      <c r="BW10" s="31">
        <v>107016</v>
      </c>
      <c r="BX10" s="31">
        <v>107802</v>
      </c>
      <c r="BY10" s="31">
        <v>105991</v>
      </c>
      <c r="BZ10" s="31">
        <v>106098</v>
      </c>
      <c r="CA10" s="31">
        <v>90911</v>
      </c>
      <c r="CB10" s="31">
        <v>92362</v>
      </c>
      <c r="CC10" s="31">
        <v>74049</v>
      </c>
      <c r="CD10" s="31">
        <v>65112</v>
      </c>
      <c r="CE10" s="31">
        <v>72452</v>
      </c>
      <c r="CF10" s="40">
        <v>78842</v>
      </c>
    </row>
    <row r="11" spans="1:84" ht="12.75">
      <c r="A11" s="50" t="s">
        <v>19</v>
      </c>
      <c r="B11" s="52"/>
      <c r="C11" s="29"/>
      <c r="D11" s="26">
        <f t="shared" si="0"/>
        <v>1107925.8</v>
      </c>
      <c r="E11" s="31"/>
      <c r="F11" s="31">
        <v>1275340</v>
      </c>
      <c r="G11" s="31">
        <v>1168543</v>
      </c>
      <c r="H11" s="31">
        <v>1131652</v>
      </c>
      <c r="I11" s="31">
        <v>1066568</v>
      </c>
      <c r="J11" s="31">
        <v>897526</v>
      </c>
      <c r="K11" s="31">
        <v>1016356</v>
      </c>
      <c r="L11" s="31">
        <v>967278</v>
      </c>
      <c r="M11" s="31">
        <v>864891</v>
      </c>
      <c r="N11" s="31">
        <v>835627</v>
      </c>
      <c r="O11" s="31">
        <v>699234</v>
      </c>
      <c r="P11" s="31">
        <v>684415</v>
      </c>
      <c r="Q11" s="40">
        <v>564585</v>
      </c>
      <c r="R11" s="55"/>
      <c r="S11" s="32"/>
      <c r="T11" s="16">
        <f t="shared" si="1"/>
        <v>43622.8</v>
      </c>
      <c r="U11" s="33"/>
      <c r="V11" s="33">
        <v>34737</v>
      </c>
      <c r="W11" s="34">
        <v>50714</v>
      </c>
      <c r="X11" s="34">
        <v>50137</v>
      </c>
      <c r="Y11" s="34">
        <v>50884</v>
      </c>
      <c r="Z11" s="34">
        <v>31642</v>
      </c>
      <c r="AA11" s="34">
        <v>54642</v>
      </c>
      <c r="AB11" s="34">
        <v>45508</v>
      </c>
      <c r="AC11" s="34">
        <v>54811</v>
      </c>
      <c r="AD11" s="34">
        <v>51240</v>
      </c>
      <c r="AE11" s="34">
        <v>45752</v>
      </c>
      <c r="AF11" s="34">
        <v>58718</v>
      </c>
      <c r="AG11" s="34">
        <v>53860</v>
      </c>
      <c r="AH11" s="169"/>
      <c r="AI11" s="35"/>
      <c r="AJ11" s="20">
        <f t="shared" si="7"/>
        <v>1151548.6</v>
      </c>
      <c r="AK11" s="41"/>
      <c r="AL11" s="41">
        <f t="shared" si="2"/>
        <v>1310077</v>
      </c>
      <c r="AM11" s="36">
        <f t="shared" si="3"/>
        <v>1219257</v>
      </c>
      <c r="AN11" s="36">
        <f t="shared" si="4"/>
        <v>1181789</v>
      </c>
      <c r="AO11" s="36">
        <v>1117452</v>
      </c>
      <c r="AP11" s="36">
        <v>929168</v>
      </c>
      <c r="AQ11" s="36">
        <v>1070998</v>
      </c>
      <c r="AR11" s="36">
        <v>1012786</v>
      </c>
      <c r="AS11" s="36">
        <v>919702</v>
      </c>
      <c r="AT11" s="36">
        <v>886867</v>
      </c>
      <c r="AU11" s="36">
        <v>744986</v>
      </c>
      <c r="AV11" s="36">
        <v>743133</v>
      </c>
      <c r="AW11" s="56">
        <v>618445</v>
      </c>
      <c r="AX11" s="170"/>
      <c r="AY11" s="37"/>
      <c r="AZ11" s="23">
        <f t="shared" si="5"/>
        <v>1709.6</v>
      </c>
      <c r="BA11" s="39"/>
      <c r="BB11" s="39">
        <v>3058</v>
      </c>
      <c r="BC11" s="39">
        <v>2141</v>
      </c>
      <c r="BD11" s="39">
        <v>998</v>
      </c>
      <c r="BE11" s="39">
        <v>1053</v>
      </c>
      <c r="BF11" s="39">
        <v>1298</v>
      </c>
      <c r="BG11" s="39">
        <v>1301</v>
      </c>
      <c r="BH11" s="39">
        <v>1360</v>
      </c>
      <c r="BI11" s="39">
        <v>1403</v>
      </c>
      <c r="BJ11" s="39">
        <v>1190</v>
      </c>
      <c r="BK11" s="39">
        <v>1344</v>
      </c>
      <c r="BL11" s="39">
        <v>981</v>
      </c>
      <c r="BM11" s="67">
        <v>896</v>
      </c>
      <c r="BN11" s="52"/>
      <c r="BO11" s="29"/>
      <c r="BP11" s="30">
        <f t="shared" si="6"/>
        <v>138084.4</v>
      </c>
      <c r="BQ11" s="31"/>
      <c r="BR11" s="31">
        <v>164085</v>
      </c>
      <c r="BS11" s="31">
        <v>151212</v>
      </c>
      <c r="BT11" s="31">
        <v>141720</v>
      </c>
      <c r="BU11" s="31">
        <v>125305</v>
      </c>
      <c r="BV11" s="31">
        <v>108100</v>
      </c>
      <c r="BW11" s="31">
        <v>121594</v>
      </c>
      <c r="BX11" s="31">
        <v>114440</v>
      </c>
      <c r="BY11" s="31">
        <v>106770</v>
      </c>
      <c r="BZ11" s="31">
        <v>102952</v>
      </c>
      <c r="CA11" s="31">
        <v>85860</v>
      </c>
      <c r="CB11" s="31">
        <v>89073</v>
      </c>
      <c r="CC11" s="31">
        <v>73375</v>
      </c>
      <c r="CD11" s="31">
        <v>64463</v>
      </c>
      <c r="CE11" s="31">
        <v>72525</v>
      </c>
      <c r="CF11" s="40">
        <v>73166</v>
      </c>
    </row>
    <row r="12" spans="1:84" ht="12.75">
      <c r="A12" s="50" t="s">
        <v>20</v>
      </c>
      <c r="B12" s="52"/>
      <c r="C12" s="29"/>
      <c r="D12" s="26">
        <f t="shared" si="0"/>
        <v>1132286.6</v>
      </c>
      <c r="E12" s="31"/>
      <c r="F12" s="31">
        <v>1350650</v>
      </c>
      <c r="G12" s="31">
        <v>1255967</v>
      </c>
      <c r="H12" s="31">
        <v>1132718</v>
      </c>
      <c r="I12" s="31">
        <v>1009435</v>
      </c>
      <c r="J12" s="31">
        <v>912663</v>
      </c>
      <c r="K12" s="31">
        <v>917130</v>
      </c>
      <c r="L12" s="31">
        <v>924346</v>
      </c>
      <c r="M12" s="31">
        <v>866883</v>
      </c>
      <c r="N12" s="31">
        <v>878754</v>
      </c>
      <c r="O12" s="31">
        <v>787217</v>
      </c>
      <c r="P12" s="31">
        <v>665171</v>
      </c>
      <c r="Q12" s="40">
        <v>565030</v>
      </c>
      <c r="R12" s="55"/>
      <c r="S12" s="32"/>
      <c r="T12" s="16">
        <f t="shared" si="1"/>
        <v>45102</v>
      </c>
      <c r="U12" s="33"/>
      <c r="V12" s="33">
        <v>25135</v>
      </c>
      <c r="W12" s="34">
        <v>51453</v>
      </c>
      <c r="X12" s="34">
        <v>54546</v>
      </c>
      <c r="Y12" s="34">
        <v>56211</v>
      </c>
      <c r="Z12" s="34">
        <v>38165</v>
      </c>
      <c r="AA12" s="34">
        <v>42631</v>
      </c>
      <c r="AB12" s="34">
        <v>74086</v>
      </c>
      <c r="AC12" s="34">
        <v>50876</v>
      </c>
      <c r="AD12" s="34">
        <v>53679</v>
      </c>
      <c r="AE12" s="34">
        <v>51099</v>
      </c>
      <c r="AF12" s="34">
        <v>53397</v>
      </c>
      <c r="AG12" s="34">
        <v>88413</v>
      </c>
      <c r="AH12" s="169"/>
      <c r="AI12" s="35"/>
      <c r="AJ12" s="20">
        <f t="shared" si="7"/>
        <v>1177388.6</v>
      </c>
      <c r="AK12" s="41"/>
      <c r="AL12" s="41">
        <f t="shared" si="2"/>
        <v>1375785</v>
      </c>
      <c r="AM12" s="36">
        <f t="shared" si="3"/>
        <v>1307420</v>
      </c>
      <c r="AN12" s="36">
        <f t="shared" si="4"/>
        <v>1187264</v>
      </c>
      <c r="AO12" s="36">
        <v>1065646</v>
      </c>
      <c r="AP12" s="36">
        <v>950828</v>
      </c>
      <c r="AQ12" s="36">
        <v>959761</v>
      </c>
      <c r="AR12" s="36">
        <v>998432</v>
      </c>
      <c r="AS12" s="36">
        <v>917759</v>
      </c>
      <c r="AT12" s="36">
        <v>932433</v>
      </c>
      <c r="AU12" s="36">
        <v>838316</v>
      </c>
      <c r="AV12" s="36">
        <v>718568</v>
      </c>
      <c r="AW12" s="56">
        <v>653443</v>
      </c>
      <c r="AX12" s="170"/>
      <c r="AY12" s="37"/>
      <c r="AZ12" s="23">
        <f t="shared" si="5"/>
        <v>2016.4</v>
      </c>
      <c r="BA12" s="39"/>
      <c r="BB12" s="39">
        <v>3700</v>
      </c>
      <c r="BC12" s="39">
        <v>2448</v>
      </c>
      <c r="BD12" s="39">
        <v>1053</v>
      </c>
      <c r="BE12" s="39">
        <v>1235</v>
      </c>
      <c r="BF12" s="39">
        <v>1646</v>
      </c>
      <c r="BG12" s="39">
        <v>1697</v>
      </c>
      <c r="BH12" s="39">
        <v>1772</v>
      </c>
      <c r="BI12" s="39">
        <v>998</v>
      </c>
      <c r="BJ12" s="39">
        <v>1283</v>
      </c>
      <c r="BK12" s="39">
        <v>1260</v>
      </c>
      <c r="BL12" s="39">
        <v>1497</v>
      </c>
      <c r="BM12" s="67">
        <v>1171</v>
      </c>
      <c r="BN12" s="52"/>
      <c r="BO12" s="29"/>
      <c r="BP12" s="30">
        <f t="shared" si="6"/>
        <v>143913.2</v>
      </c>
      <c r="BQ12" s="31"/>
      <c r="BR12" s="31">
        <v>172838</v>
      </c>
      <c r="BS12" s="31">
        <v>168103</v>
      </c>
      <c r="BT12" s="31">
        <v>145609</v>
      </c>
      <c r="BU12" s="31">
        <v>124468</v>
      </c>
      <c r="BV12" s="31">
        <v>108548</v>
      </c>
      <c r="BW12" s="31">
        <v>113888</v>
      </c>
      <c r="BX12" s="31">
        <v>110921</v>
      </c>
      <c r="BY12" s="31">
        <v>104425</v>
      </c>
      <c r="BZ12" s="31">
        <v>108127</v>
      </c>
      <c r="CA12" s="31">
        <v>103200</v>
      </c>
      <c r="CB12" s="31">
        <v>86378</v>
      </c>
      <c r="CC12" s="31">
        <v>73545</v>
      </c>
      <c r="CD12" s="31">
        <v>58480</v>
      </c>
      <c r="CE12" s="31">
        <v>66101</v>
      </c>
      <c r="CF12" s="40">
        <v>74109</v>
      </c>
    </row>
    <row r="13" spans="1:84" ht="12.75">
      <c r="A13" s="50" t="s">
        <v>21</v>
      </c>
      <c r="B13" s="52"/>
      <c r="C13" s="29"/>
      <c r="D13" s="26">
        <f t="shared" si="0"/>
        <v>1073891.6</v>
      </c>
      <c r="E13" s="31"/>
      <c r="F13" s="31">
        <v>1277988</v>
      </c>
      <c r="G13" s="31">
        <v>1182492</v>
      </c>
      <c r="H13" s="31">
        <v>1007974</v>
      </c>
      <c r="I13" s="31">
        <v>999438</v>
      </c>
      <c r="J13" s="31">
        <v>901566</v>
      </c>
      <c r="K13" s="31">
        <v>927732</v>
      </c>
      <c r="L13" s="31">
        <v>857689</v>
      </c>
      <c r="M13" s="31">
        <v>812870</v>
      </c>
      <c r="N13" s="31">
        <v>779232</v>
      </c>
      <c r="O13" s="31">
        <v>741090</v>
      </c>
      <c r="P13" s="31">
        <v>633971</v>
      </c>
      <c r="Q13" s="40">
        <v>547599</v>
      </c>
      <c r="R13" s="55"/>
      <c r="S13" s="32"/>
      <c r="T13" s="16">
        <f t="shared" si="1"/>
        <v>46055.8</v>
      </c>
      <c r="U13" s="33"/>
      <c r="V13" s="33">
        <v>46886</v>
      </c>
      <c r="W13" s="34">
        <v>30877</v>
      </c>
      <c r="X13" s="34">
        <v>52036</v>
      </c>
      <c r="Y13" s="34">
        <v>58097</v>
      </c>
      <c r="Z13" s="34">
        <v>42383</v>
      </c>
      <c r="AA13" s="34">
        <v>54935</v>
      </c>
      <c r="AB13" s="34">
        <v>37949</v>
      </c>
      <c r="AC13" s="34">
        <v>77769</v>
      </c>
      <c r="AD13" s="34">
        <v>61511</v>
      </c>
      <c r="AE13" s="34">
        <v>48633</v>
      </c>
      <c r="AF13" s="34">
        <v>49477</v>
      </c>
      <c r="AG13" s="34">
        <v>84399</v>
      </c>
      <c r="AH13" s="169"/>
      <c r="AI13" s="35"/>
      <c r="AJ13" s="20">
        <f t="shared" si="7"/>
        <v>1119947.4</v>
      </c>
      <c r="AK13" s="41"/>
      <c r="AL13" s="41">
        <f t="shared" si="2"/>
        <v>1324874</v>
      </c>
      <c r="AM13" s="36">
        <f t="shared" si="3"/>
        <v>1213369</v>
      </c>
      <c r="AN13" s="36">
        <f t="shared" si="4"/>
        <v>1060010</v>
      </c>
      <c r="AO13" s="36">
        <v>1057535</v>
      </c>
      <c r="AP13" s="36">
        <v>943949</v>
      </c>
      <c r="AQ13" s="36">
        <v>982667</v>
      </c>
      <c r="AR13" s="36">
        <v>895638</v>
      </c>
      <c r="AS13" s="36">
        <v>890639</v>
      </c>
      <c r="AT13" s="36">
        <v>840743</v>
      </c>
      <c r="AU13" s="36">
        <v>789723</v>
      </c>
      <c r="AV13" s="36">
        <v>683448</v>
      </c>
      <c r="AW13" s="56">
        <v>631998</v>
      </c>
      <c r="AX13" s="170"/>
      <c r="AY13" s="37"/>
      <c r="AZ13" s="23">
        <f t="shared" si="5"/>
        <v>2092</v>
      </c>
      <c r="BA13" s="39"/>
      <c r="BB13" s="39">
        <v>3739</v>
      </c>
      <c r="BC13" s="39">
        <v>2427</v>
      </c>
      <c r="BD13" s="39">
        <v>1309</v>
      </c>
      <c r="BE13" s="39">
        <v>1307</v>
      </c>
      <c r="BF13" s="39">
        <v>1678</v>
      </c>
      <c r="BG13" s="39">
        <v>1866</v>
      </c>
      <c r="BH13" s="39">
        <v>1490</v>
      </c>
      <c r="BI13" s="39">
        <v>1196</v>
      </c>
      <c r="BJ13" s="39">
        <v>1258</v>
      </c>
      <c r="BK13" s="39">
        <v>1229</v>
      </c>
      <c r="BL13" s="39">
        <v>1333</v>
      </c>
      <c r="BM13" s="67">
        <v>1165</v>
      </c>
      <c r="BN13" s="52"/>
      <c r="BO13" s="29"/>
      <c r="BP13" s="30">
        <f t="shared" si="6"/>
        <v>138133.2</v>
      </c>
      <c r="BQ13" s="31"/>
      <c r="BR13" s="31">
        <v>170620</v>
      </c>
      <c r="BS13" s="31">
        <v>154399</v>
      </c>
      <c r="BT13" s="31">
        <v>133147</v>
      </c>
      <c r="BU13" s="31">
        <v>125702</v>
      </c>
      <c r="BV13" s="31">
        <v>106798</v>
      </c>
      <c r="BW13" s="31">
        <v>113845</v>
      </c>
      <c r="BX13" s="31">
        <v>103539</v>
      </c>
      <c r="BY13" s="31">
        <v>98396</v>
      </c>
      <c r="BZ13" s="31">
        <v>95851</v>
      </c>
      <c r="CA13" s="31">
        <v>92543</v>
      </c>
      <c r="CB13" s="31">
        <v>83430</v>
      </c>
      <c r="CC13" s="31">
        <v>74844</v>
      </c>
      <c r="CD13" s="31">
        <v>64653</v>
      </c>
      <c r="CE13" s="31">
        <v>67725</v>
      </c>
      <c r="CF13" s="40">
        <v>67247</v>
      </c>
    </row>
    <row r="14" spans="1:84" ht="12.75">
      <c r="A14" s="50" t="s">
        <v>22</v>
      </c>
      <c r="B14" s="52"/>
      <c r="C14" s="29"/>
      <c r="D14" s="26">
        <f t="shared" si="0"/>
        <v>1198494.6</v>
      </c>
      <c r="E14" s="31"/>
      <c r="F14" s="31">
        <v>1379531</v>
      </c>
      <c r="G14" s="31">
        <v>1256041</v>
      </c>
      <c r="H14" s="31">
        <v>1201556</v>
      </c>
      <c r="I14" s="31">
        <v>1197097</v>
      </c>
      <c r="J14" s="31">
        <v>958248</v>
      </c>
      <c r="K14" s="31">
        <v>973454</v>
      </c>
      <c r="L14" s="31">
        <v>1009973</v>
      </c>
      <c r="M14" s="31">
        <v>903246</v>
      </c>
      <c r="N14" s="31">
        <v>872742</v>
      </c>
      <c r="O14" s="31">
        <v>800880</v>
      </c>
      <c r="P14" s="31">
        <v>698898</v>
      </c>
      <c r="Q14" s="40">
        <v>651687</v>
      </c>
      <c r="R14" s="55"/>
      <c r="S14" s="32"/>
      <c r="T14" s="16">
        <f t="shared" si="1"/>
        <v>49740.8</v>
      </c>
      <c r="U14" s="33"/>
      <c r="V14" s="33">
        <v>34994</v>
      </c>
      <c r="W14" s="34">
        <v>54189</v>
      </c>
      <c r="X14" s="34">
        <v>68489</v>
      </c>
      <c r="Y14" s="34">
        <v>57919</v>
      </c>
      <c r="Z14" s="34">
        <v>33113</v>
      </c>
      <c r="AA14" s="34">
        <v>42962</v>
      </c>
      <c r="AB14" s="34">
        <v>65872</v>
      </c>
      <c r="AC14" s="34">
        <v>73765</v>
      </c>
      <c r="AD14" s="34">
        <v>59842</v>
      </c>
      <c r="AE14" s="34">
        <v>50487</v>
      </c>
      <c r="AF14" s="34">
        <v>51344</v>
      </c>
      <c r="AG14" s="34">
        <v>69471</v>
      </c>
      <c r="AH14" s="169"/>
      <c r="AI14" s="35"/>
      <c r="AJ14" s="20">
        <f t="shared" si="7"/>
        <v>1248235.4</v>
      </c>
      <c r="AK14" s="41"/>
      <c r="AL14" s="41">
        <f t="shared" si="2"/>
        <v>1414525</v>
      </c>
      <c r="AM14" s="36">
        <f t="shared" si="3"/>
        <v>1310230</v>
      </c>
      <c r="AN14" s="36">
        <f t="shared" si="4"/>
        <v>1270045</v>
      </c>
      <c r="AO14" s="36">
        <v>1255016</v>
      </c>
      <c r="AP14" s="36">
        <v>991361</v>
      </c>
      <c r="AQ14" s="36">
        <v>1016416</v>
      </c>
      <c r="AR14" s="36">
        <v>1075845</v>
      </c>
      <c r="AS14" s="36">
        <v>977011</v>
      </c>
      <c r="AT14" s="36">
        <v>932584</v>
      </c>
      <c r="AU14" s="36">
        <v>851367</v>
      </c>
      <c r="AV14" s="36">
        <v>750242</v>
      </c>
      <c r="AW14" s="56">
        <v>721158</v>
      </c>
      <c r="AX14" s="170"/>
      <c r="AY14" s="37"/>
      <c r="AZ14" s="23">
        <f t="shared" si="5"/>
        <v>2092</v>
      </c>
      <c r="BA14" s="39"/>
      <c r="BB14" s="39">
        <v>3341</v>
      </c>
      <c r="BC14" s="39">
        <v>2595</v>
      </c>
      <c r="BD14" s="39">
        <v>1591</v>
      </c>
      <c r="BE14" s="39">
        <v>1228</v>
      </c>
      <c r="BF14" s="39">
        <v>1705</v>
      </c>
      <c r="BG14" s="39">
        <v>1398</v>
      </c>
      <c r="BH14" s="39">
        <v>1655</v>
      </c>
      <c r="BI14" s="39" t="s">
        <v>40</v>
      </c>
      <c r="BJ14" s="39">
        <v>1344</v>
      </c>
      <c r="BK14" s="39">
        <v>1264</v>
      </c>
      <c r="BL14" s="39">
        <v>1675</v>
      </c>
      <c r="BM14" s="67">
        <v>1022</v>
      </c>
      <c r="BN14" s="52"/>
      <c r="BO14" s="29"/>
      <c r="BP14" s="30">
        <f t="shared" si="6"/>
        <v>153859.6</v>
      </c>
      <c r="BQ14" s="95"/>
      <c r="BR14" s="95">
        <v>188539</v>
      </c>
      <c r="BS14" s="31">
        <v>166194</v>
      </c>
      <c r="BT14" s="31">
        <v>158570</v>
      </c>
      <c r="BU14" s="31">
        <v>142561</v>
      </c>
      <c r="BV14" s="31">
        <v>113434</v>
      </c>
      <c r="BW14" s="31">
        <v>116913</v>
      </c>
      <c r="BX14" s="31">
        <v>117501</v>
      </c>
      <c r="BY14" s="31">
        <v>107807</v>
      </c>
      <c r="BZ14" s="31">
        <v>105427</v>
      </c>
      <c r="CA14" s="31">
        <v>101125</v>
      </c>
      <c r="CB14" s="31">
        <v>92452</v>
      </c>
      <c r="CC14" s="31">
        <v>83352</v>
      </c>
      <c r="CD14" s="31">
        <v>67904</v>
      </c>
      <c r="CE14" s="31">
        <v>76252</v>
      </c>
      <c r="CF14" s="40">
        <v>71783</v>
      </c>
    </row>
    <row r="15" spans="1:84" ht="12.75">
      <c r="A15" s="50" t="s">
        <v>23</v>
      </c>
      <c r="B15" s="52"/>
      <c r="C15" s="29"/>
      <c r="D15" s="26">
        <f t="shared" si="0"/>
        <v>1116636</v>
      </c>
      <c r="E15" s="31"/>
      <c r="F15" s="31">
        <v>1385556</v>
      </c>
      <c r="G15" s="31">
        <v>1171259</v>
      </c>
      <c r="H15" s="31">
        <v>1075675</v>
      </c>
      <c r="I15" s="31">
        <v>1062909</v>
      </c>
      <c r="J15" s="31">
        <v>887781</v>
      </c>
      <c r="K15" s="31">
        <v>945785</v>
      </c>
      <c r="L15" s="31">
        <v>935568</v>
      </c>
      <c r="M15" s="31">
        <v>839367</v>
      </c>
      <c r="N15" s="31">
        <v>869248</v>
      </c>
      <c r="O15" s="31">
        <v>808681</v>
      </c>
      <c r="P15" s="31">
        <v>658799</v>
      </c>
      <c r="Q15" s="40">
        <v>640106</v>
      </c>
      <c r="R15" s="55"/>
      <c r="S15" s="32"/>
      <c r="T15" s="16">
        <f t="shared" si="1"/>
        <v>50522.2</v>
      </c>
      <c r="U15" s="33"/>
      <c r="V15" s="33">
        <v>42090</v>
      </c>
      <c r="W15" s="34">
        <v>58642</v>
      </c>
      <c r="X15" s="34">
        <v>49932</v>
      </c>
      <c r="Y15" s="34">
        <v>53320</v>
      </c>
      <c r="Z15" s="34">
        <v>48627</v>
      </c>
      <c r="AA15" s="34">
        <v>47380</v>
      </c>
      <c r="AB15" s="34">
        <v>44840</v>
      </c>
      <c r="AC15" s="34">
        <v>45497</v>
      </c>
      <c r="AD15" s="34">
        <v>48426</v>
      </c>
      <c r="AE15" s="34">
        <v>44053</v>
      </c>
      <c r="AF15" s="34">
        <v>78582</v>
      </c>
      <c r="AG15" s="34">
        <v>61907</v>
      </c>
      <c r="AH15" s="169"/>
      <c r="AI15" s="35"/>
      <c r="AJ15" s="20">
        <f t="shared" si="7"/>
        <v>1167158.2</v>
      </c>
      <c r="AK15" s="41"/>
      <c r="AL15" s="41">
        <f t="shared" si="2"/>
        <v>1427646</v>
      </c>
      <c r="AM15" s="36">
        <f t="shared" si="3"/>
        <v>1229901</v>
      </c>
      <c r="AN15" s="36">
        <f t="shared" si="4"/>
        <v>1125607</v>
      </c>
      <c r="AO15" s="36">
        <v>1116229</v>
      </c>
      <c r="AP15" s="36">
        <v>936408</v>
      </c>
      <c r="AQ15" s="36">
        <v>993165</v>
      </c>
      <c r="AR15" s="36">
        <v>980408</v>
      </c>
      <c r="AS15" s="36">
        <v>884864</v>
      </c>
      <c r="AT15" s="36">
        <v>917674</v>
      </c>
      <c r="AU15" s="36">
        <v>852734</v>
      </c>
      <c r="AV15" s="36">
        <v>737381</v>
      </c>
      <c r="AW15" s="56">
        <v>702013</v>
      </c>
      <c r="AX15" s="170"/>
      <c r="AY15" s="37"/>
      <c r="AZ15" s="23">
        <f t="shared" si="5"/>
        <v>1721</v>
      </c>
      <c r="BA15" s="39"/>
      <c r="BB15" s="39">
        <v>2676</v>
      </c>
      <c r="BC15" s="39">
        <v>2608</v>
      </c>
      <c r="BD15" s="39">
        <v>777</v>
      </c>
      <c r="BE15" s="39">
        <v>975</v>
      </c>
      <c r="BF15" s="39">
        <v>1569</v>
      </c>
      <c r="BG15" s="39">
        <v>1166</v>
      </c>
      <c r="BH15" s="39">
        <v>1541</v>
      </c>
      <c r="BI15" s="39">
        <v>1026</v>
      </c>
      <c r="BJ15" s="39"/>
      <c r="BK15" s="39">
        <v>1292</v>
      </c>
      <c r="BL15" s="39">
        <v>1228</v>
      </c>
      <c r="BM15" s="67">
        <v>1060</v>
      </c>
      <c r="BN15" s="52"/>
      <c r="BO15" s="29"/>
      <c r="BP15" s="30">
        <f t="shared" si="6"/>
        <v>139762.6</v>
      </c>
      <c r="BQ15" s="31"/>
      <c r="BR15" s="31">
        <v>177712</v>
      </c>
      <c r="BS15" s="31">
        <v>152357</v>
      </c>
      <c r="BT15" s="31">
        <v>139657</v>
      </c>
      <c r="BU15" s="31">
        <v>127872</v>
      </c>
      <c r="BV15" s="31">
        <v>101215</v>
      </c>
      <c r="BW15" s="31">
        <v>120561</v>
      </c>
      <c r="BX15" s="31">
        <v>111789</v>
      </c>
      <c r="BY15" s="31">
        <v>98728</v>
      </c>
      <c r="BZ15" s="31">
        <v>97913</v>
      </c>
      <c r="CA15" s="31">
        <v>102293</v>
      </c>
      <c r="CB15" s="31">
        <v>89116</v>
      </c>
      <c r="CC15" s="31">
        <v>79994</v>
      </c>
      <c r="CD15" s="31">
        <v>67291</v>
      </c>
      <c r="CE15" s="31">
        <v>64563</v>
      </c>
      <c r="CF15" s="40">
        <v>64642</v>
      </c>
    </row>
    <row r="16" spans="1:84" ht="12.75">
      <c r="A16" s="50" t="s">
        <v>24</v>
      </c>
      <c r="B16" s="52"/>
      <c r="C16" s="29"/>
      <c r="D16" s="26">
        <f t="shared" si="0"/>
        <v>1134749.4</v>
      </c>
      <c r="E16" s="31"/>
      <c r="F16" s="31">
        <v>1248314</v>
      </c>
      <c r="G16" s="31">
        <v>1261310</v>
      </c>
      <c r="H16" s="31">
        <v>1115702</v>
      </c>
      <c r="I16" s="31">
        <v>1122984</v>
      </c>
      <c r="J16" s="31">
        <v>925437</v>
      </c>
      <c r="K16" s="31">
        <v>886130</v>
      </c>
      <c r="L16" s="31">
        <v>924272</v>
      </c>
      <c r="M16" s="31">
        <v>848428</v>
      </c>
      <c r="N16" s="31">
        <v>858789</v>
      </c>
      <c r="O16" s="31">
        <v>787006</v>
      </c>
      <c r="P16" s="31">
        <v>732639</v>
      </c>
      <c r="Q16" s="40">
        <v>675500</v>
      </c>
      <c r="R16" s="55"/>
      <c r="S16" s="32"/>
      <c r="T16" s="16">
        <f t="shared" si="1"/>
        <v>48944.8</v>
      </c>
      <c r="U16" s="33"/>
      <c r="V16" s="33">
        <v>42377</v>
      </c>
      <c r="W16" s="34">
        <v>44978</v>
      </c>
      <c r="X16" s="34">
        <v>57944</v>
      </c>
      <c r="Y16" s="34">
        <v>63949</v>
      </c>
      <c r="Z16" s="34">
        <v>35476</v>
      </c>
      <c r="AA16" s="34">
        <v>53539</v>
      </c>
      <c r="AB16" s="34">
        <v>60409</v>
      </c>
      <c r="AC16" s="34">
        <v>50101</v>
      </c>
      <c r="AD16" s="34">
        <v>66411</v>
      </c>
      <c r="AE16" s="34">
        <v>37841</v>
      </c>
      <c r="AF16" s="34">
        <v>58018</v>
      </c>
      <c r="AG16" s="34">
        <v>72887</v>
      </c>
      <c r="AH16" s="169"/>
      <c r="AI16" s="35"/>
      <c r="AJ16" s="20">
        <f t="shared" si="7"/>
        <v>1183694.2</v>
      </c>
      <c r="AK16" s="41"/>
      <c r="AL16" s="41">
        <f t="shared" si="2"/>
        <v>1290691</v>
      </c>
      <c r="AM16" s="36">
        <f t="shared" si="3"/>
        <v>1306288</v>
      </c>
      <c r="AN16" s="36">
        <f t="shared" si="4"/>
        <v>1173646</v>
      </c>
      <c r="AO16" s="36">
        <v>1186933</v>
      </c>
      <c r="AP16" s="36">
        <v>960913</v>
      </c>
      <c r="AQ16" s="36">
        <v>939669</v>
      </c>
      <c r="AR16" s="36">
        <v>984681</v>
      </c>
      <c r="AS16" s="36">
        <v>898529</v>
      </c>
      <c r="AT16" s="36">
        <v>925200</v>
      </c>
      <c r="AU16" s="36">
        <v>824847</v>
      </c>
      <c r="AV16" s="36">
        <v>790657</v>
      </c>
      <c r="AW16" s="56">
        <v>748387</v>
      </c>
      <c r="AX16" s="170"/>
      <c r="AY16" s="37"/>
      <c r="AZ16" s="23">
        <f t="shared" si="5"/>
        <v>1622.4</v>
      </c>
      <c r="BA16" s="39"/>
      <c r="BB16" s="39">
        <v>2156</v>
      </c>
      <c r="BC16" s="39">
        <v>2390</v>
      </c>
      <c r="BD16" s="39">
        <v>1306</v>
      </c>
      <c r="BE16" s="39">
        <v>927</v>
      </c>
      <c r="BF16" s="39">
        <v>1333</v>
      </c>
      <c r="BG16" s="39">
        <v>1405</v>
      </c>
      <c r="BH16" s="39">
        <v>1656</v>
      </c>
      <c r="BI16" s="39">
        <v>1000</v>
      </c>
      <c r="BJ16" s="39"/>
      <c r="BK16" s="39">
        <v>1096</v>
      </c>
      <c r="BL16" s="39">
        <v>1279</v>
      </c>
      <c r="BM16" s="67">
        <v>1018</v>
      </c>
      <c r="BN16" s="52"/>
      <c r="BO16" s="29"/>
      <c r="BP16" s="30">
        <f t="shared" si="6"/>
        <v>139439.4</v>
      </c>
      <c r="BQ16" s="31"/>
      <c r="BR16" s="31">
        <v>160870</v>
      </c>
      <c r="BS16" s="31">
        <v>160470</v>
      </c>
      <c r="BT16" s="31">
        <v>138601</v>
      </c>
      <c r="BU16" s="31">
        <v>132880</v>
      </c>
      <c r="BV16" s="31">
        <v>104376</v>
      </c>
      <c r="BW16" s="31">
        <v>109032</v>
      </c>
      <c r="BX16" s="31">
        <v>109429</v>
      </c>
      <c r="BY16" s="31">
        <v>97744</v>
      </c>
      <c r="BZ16" s="31">
        <v>100433</v>
      </c>
      <c r="CA16" s="31">
        <v>98801</v>
      </c>
      <c r="CB16" s="31">
        <v>93623</v>
      </c>
      <c r="CC16" s="31">
        <v>83266</v>
      </c>
      <c r="CD16" s="31">
        <v>67656</v>
      </c>
      <c r="CE16" s="31">
        <v>68458</v>
      </c>
      <c r="CF16" s="40">
        <v>70917</v>
      </c>
    </row>
    <row r="17" spans="1:84" ht="12.75">
      <c r="A17" s="50" t="s">
        <v>41</v>
      </c>
      <c r="B17" s="58">
        <f>SUM(E17-F17)/F17</f>
        <v>0.056244063680238425</v>
      </c>
      <c r="C17" s="25">
        <f>SUM(E17-D17)/D17</f>
        <v>0.2235572095094659</v>
      </c>
      <c r="D17" s="26">
        <f t="shared" si="0"/>
        <v>5414150.6</v>
      </c>
      <c r="E17" s="31">
        <f>SUM(E5:E9)</f>
        <v>6624523</v>
      </c>
      <c r="F17" s="31">
        <f aca="true" t="shared" si="8" ref="F17:Q17">SUM(F5:F9)</f>
        <v>6271773</v>
      </c>
      <c r="G17" s="31">
        <f t="shared" si="8"/>
        <v>5787760</v>
      </c>
      <c r="H17" s="31">
        <f t="shared" si="8"/>
        <v>5524224</v>
      </c>
      <c r="I17" s="31">
        <f t="shared" si="8"/>
        <v>4780706</v>
      </c>
      <c r="J17" s="31">
        <f t="shared" si="8"/>
        <v>4706290</v>
      </c>
      <c r="K17" s="31">
        <f t="shared" si="8"/>
        <v>4763477</v>
      </c>
      <c r="L17" s="31">
        <f t="shared" si="8"/>
        <v>4591065</v>
      </c>
      <c r="M17" s="31">
        <f t="shared" si="8"/>
        <v>4450137</v>
      </c>
      <c r="N17" s="31">
        <f t="shared" si="8"/>
        <v>4211691</v>
      </c>
      <c r="O17" s="31">
        <f t="shared" si="8"/>
        <v>3654134</v>
      </c>
      <c r="P17" s="31">
        <f t="shared" si="8"/>
        <v>3547565</v>
      </c>
      <c r="Q17" s="31">
        <f t="shared" si="8"/>
        <v>2837640</v>
      </c>
      <c r="R17" s="53">
        <f>SUM(U17-V17)/V17</f>
        <v>-0.0016801976027266113</v>
      </c>
      <c r="S17" s="15">
        <f>SUM(U17-T17)/T17</f>
        <v>-0.0624640365388765</v>
      </c>
      <c r="T17" s="16">
        <f t="shared" si="1"/>
        <v>222448</v>
      </c>
      <c r="U17" s="33">
        <f>SUM(U5:U9)</f>
        <v>208553</v>
      </c>
      <c r="V17" s="33">
        <f aca="true" t="shared" si="9" ref="V17:AG17">SUM(V5:V9)</f>
        <v>208904</v>
      </c>
      <c r="W17" s="33">
        <f t="shared" si="9"/>
        <v>235603</v>
      </c>
      <c r="X17" s="33">
        <f t="shared" si="9"/>
        <v>253142</v>
      </c>
      <c r="Y17" s="33">
        <f t="shared" si="9"/>
        <v>218257</v>
      </c>
      <c r="Z17" s="33">
        <f t="shared" si="9"/>
        <v>196334</v>
      </c>
      <c r="AA17" s="33">
        <f t="shared" si="9"/>
        <v>261781</v>
      </c>
      <c r="AB17" s="33">
        <f t="shared" si="9"/>
        <v>286717</v>
      </c>
      <c r="AC17" s="33">
        <f t="shared" si="9"/>
        <v>303648</v>
      </c>
      <c r="AD17" s="33">
        <f t="shared" si="9"/>
        <v>271376</v>
      </c>
      <c r="AE17" s="33">
        <f t="shared" si="9"/>
        <v>289265</v>
      </c>
      <c r="AF17" s="33">
        <f t="shared" si="9"/>
        <v>366387</v>
      </c>
      <c r="AG17" s="33">
        <f t="shared" si="9"/>
        <v>411759</v>
      </c>
      <c r="AH17" s="161">
        <f>SUM(AK17-AL17)/AL17</f>
        <v>0.0543768806870023</v>
      </c>
      <c r="AI17" s="19">
        <f>SUM(AK17-AJ17)/AJ17</f>
        <v>0.21226939949209803</v>
      </c>
      <c r="AJ17" s="20">
        <f t="shared" si="7"/>
        <v>5636598.6</v>
      </c>
      <c r="AK17" s="36">
        <f>+E17+U17</f>
        <v>6833076</v>
      </c>
      <c r="AL17" s="36">
        <f>+F17+V17</f>
        <v>6480677</v>
      </c>
      <c r="AM17" s="36">
        <f>+G17+W17</f>
        <v>6023363</v>
      </c>
      <c r="AN17" s="36">
        <f t="shared" si="4"/>
        <v>5777366</v>
      </c>
      <c r="AO17" s="36">
        <f aca="true" t="shared" si="10" ref="AO17:AW17">+I17+Y17</f>
        <v>4998963</v>
      </c>
      <c r="AP17" s="36">
        <f t="shared" si="10"/>
        <v>4902624</v>
      </c>
      <c r="AQ17" s="36">
        <f t="shared" si="10"/>
        <v>5025258</v>
      </c>
      <c r="AR17" s="36">
        <f t="shared" si="10"/>
        <v>4877782</v>
      </c>
      <c r="AS17" s="36">
        <f t="shared" si="10"/>
        <v>4753785</v>
      </c>
      <c r="AT17" s="36">
        <f t="shared" si="10"/>
        <v>4483067</v>
      </c>
      <c r="AU17" s="36">
        <f t="shared" si="10"/>
        <v>3943399</v>
      </c>
      <c r="AV17" s="36">
        <f t="shared" si="10"/>
        <v>3913952</v>
      </c>
      <c r="AW17" s="56">
        <f t="shared" si="10"/>
        <v>3249399</v>
      </c>
      <c r="AX17" s="91">
        <f>SUM(BA17-BB17)/BB17</f>
        <v>-0.06152052842895998</v>
      </c>
      <c r="AY17" s="22">
        <f>SUM(BA17-AZ17)/AZ17</f>
        <v>0.34469064320973897</v>
      </c>
      <c r="AZ17" s="23">
        <f t="shared" si="5"/>
        <v>5388.6</v>
      </c>
      <c r="BA17" s="39">
        <f>SUM(BA5:BA7)</f>
        <v>7246</v>
      </c>
      <c r="BB17" s="39">
        <f aca="true" t="shared" si="11" ref="BB17:BM17">SUM(BB5:BB7)</f>
        <v>7721</v>
      </c>
      <c r="BC17" s="39">
        <f t="shared" si="11"/>
        <v>6148</v>
      </c>
      <c r="BD17" s="39">
        <f t="shared" si="11"/>
        <v>3556</v>
      </c>
      <c r="BE17" s="39">
        <f t="shared" si="11"/>
        <v>4344</v>
      </c>
      <c r="BF17" s="39">
        <f t="shared" si="11"/>
        <v>5174</v>
      </c>
      <c r="BG17" s="39">
        <f t="shared" si="11"/>
        <v>5128</v>
      </c>
      <c r="BH17" s="39">
        <f t="shared" si="11"/>
        <v>4884</v>
      </c>
      <c r="BI17" s="39">
        <f t="shared" si="11"/>
        <v>3618</v>
      </c>
      <c r="BJ17" s="39">
        <f t="shared" si="11"/>
        <v>3502</v>
      </c>
      <c r="BK17" s="39">
        <f t="shared" si="11"/>
        <v>3052</v>
      </c>
      <c r="BL17" s="39">
        <f t="shared" si="11"/>
        <v>3595</v>
      </c>
      <c r="BM17" s="39">
        <f t="shared" si="11"/>
        <v>3254</v>
      </c>
      <c r="BN17" s="58">
        <f>SUM(BQ17-BR17)/BR17</f>
        <v>0.06650243188938319</v>
      </c>
      <c r="BO17" s="25">
        <f>SUM(BQ17-BP17)/BP17</f>
        <v>0.29702596418575933</v>
      </c>
      <c r="BP17" s="26">
        <f t="shared" si="6"/>
        <v>649864.4</v>
      </c>
      <c r="BQ17" s="31">
        <f>SUM(BQ5:BQ9)</f>
        <v>842891</v>
      </c>
      <c r="BR17" s="31">
        <f aca="true" t="shared" si="12" ref="BR17:CF17">SUM(BR5:BR9)</f>
        <v>790332</v>
      </c>
      <c r="BS17" s="31">
        <f t="shared" si="12"/>
        <v>707191</v>
      </c>
      <c r="BT17" s="31">
        <f t="shared" si="12"/>
        <v>650551</v>
      </c>
      <c r="BU17" s="31">
        <f t="shared" si="12"/>
        <v>546129</v>
      </c>
      <c r="BV17" s="31">
        <f t="shared" si="12"/>
        <v>555119</v>
      </c>
      <c r="BW17" s="31">
        <f t="shared" si="12"/>
        <v>544668</v>
      </c>
      <c r="BX17" s="31">
        <f t="shared" si="12"/>
        <v>531116</v>
      </c>
      <c r="BY17" s="31">
        <f t="shared" si="12"/>
        <v>532030</v>
      </c>
      <c r="BZ17" s="31">
        <f t="shared" si="12"/>
        <v>515924</v>
      </c>
      <c r="CA17" s="31">
        <f t="shared" si="12"/>
        <v>466624</v>
      </c>
      <c r="CB17" s="31">
        <f t="shared" si="12"/>
        <v>451412</v>
      </c>
      <c r="CC17" s="31">
        <f t="shared" si="12"/>
        <v>351680</v>
      </c>
      <c r="CD17" s="31">
        <f t="shared" si="12"/>
        <v>330464</v>
      </c>
      <c r="CE17" s="31">
        <f t="shared" si="12"/>
        <v>358180</v>
      </c>
      <c r="CF17" s="40">
        <f t="shared" si="12"/>
        <v>359359</v>
      </c>
    </row>
    <row r="18" spans="1:84" ht="13.5" thickBot="1">
      <c r="A18" s="51" t="s">
        <v>42</v>
      </c>
      <c r="B18" s="58">
        <f>SUM(E18-F18)/F18</f>
        <v>0.02803585814489024</v>
      </c>
      <c r="C18" s="25">
        <f>SUM(E18-D18)/D18</f>
        <v>0.19758571030036132</v>
      </c>
      <c r="D18" s="26">
        <f t="shared" si="0"/>
        <v>1106312.9666666668</v>
      </c>
      <c r="E18" s="42">
        <f>AVERAGE(E5:E16)</f>
        <v>1324904.6</v>
      </c>
      <c r="F18" s="42">
        <f>AVERAGE(F5:F16)</f>
        <v>1288772.75</v>
      </c>
      <c r="G18" s="42">
        <f>AVERAGE(G5:G16)</f>
        <v>1189401.6666666667</v>
      </c>
      <c r="H18" s="42">
        <f>AVERAGE(H5:H16)</f>
        <v>1111562.75</v>
      </c>
      <c r="I18" s="42">
        <f aca="true" t="shared" si="13" ref="I18:Q18">AVERAGE(I5:I16)</f>
        <v>1018025.1666666666</v>
      </c>
      <c r="J18" s="42">
        <f t="shared" si="13"/>
        <v>923802.5</v>
      </c>
      <c r="K18" s="42">
        <f t="shared" si="13"/>
        <v>945972.75</v>
      </c>
      <c r="L18" s="42">
        <f t="shared" si="13"/>
        <v>929305.0833333334</v>
      </c>
      <c r="M18" s="42">
        <f t="shared" si="13"/>
        <v>871719.1666666666</v>
      </c>
      <c r="N18" s="42">
        <f t="shared" si="13"/>
        <v>845756.75</v>
      </c>
      <c r="O18" s="42">
        <f t="shared" si="13"/>
        <v>751027.5</v>
      </c>
      <c r="P18" s="42">
        <f t="shared" si="13"/>
        <v>693177.3333333334</v>
      </c>
      <c r="Q18" s="48">
        <f t="shared" si="13"/>
        <v>587980.0833333334</v>
      </c>
      <c r="R18" s="53">
        <f>SUM(U18-V18)/V18</f>
        <v>0.0035733691565829296</v>
      </c>
      <c r="S18" s="15">
        <f>SUM(U18-T18)/T18</f>
        <v>-0.10538701124702457</v>
      </c>
      <c r="T18" s="16">
        <f t="shared" si="1"/>
        <v>46624.183333333334</v>
      </c>
      <c r="U18" s="43">
        <f>AVERAGE(U5:U16)</f>
        <v>41710.6</v>
      </c>
      <c r="V18" s="43">
        <f>AVERAGE(V5:V16)</f>
        <v>41562.083333333336</v>
      </c>
      <c r="W18" s="44">
        <f>AVERAGE(W5:W16)</f>
        <v>48738.583333333336</v>
      </c>
      <c r="X18" s="44">
        <f>AVERAGE(X5:X16)</f>
        <v>53738.583333333336</v>
      </c>
      <c r="Y18" s="44">
        <f aca="true" t="shared" si="14" ref="Y18:AG18">AVERAGE(Y5:Y16)</f>
        <v>50677.333333333336</v>
      </c>
      <c r="Z18" s="44">
        <f t="shared" si="14"/>
        <v>38404.333333333336</v>
      </c>
      <c r="AA18" s="44">
        <f t="shared" si="14"/>
        <v>51452.666666666664</v>
      </c>
      <c r="AB18" s="44">
        <f t="shared" si="14"/>
        <v>56058.5</v>
      </c>
      <c r="AC18" s="44">
        <f t="shared" si="14"/>
        <v>59084.5</v>
      </c>
      <c r="AD18" s="44">
        <f t="shared" si="14"/>
        <v>54012.333333333336</v>
      </c>
      <c r="AE18" s="44">
        <f t="shared" si="14"/>
        <v>50974.5</v>
      </c>
      <c r="AF18" s="44">
        <f t="shared" si="14"/>
        <v>64007.5</v>
      </c>
      <c r="AG18" s="44">
        <f t="shared" si="14"/>
        <v>74805.66666666667</v>
      </c>
      <c r="AH18" s="161">
        <f>SUM(AK18-AL18)/AL18</f>
        <v>0.02727160543166516</v>
      </c>
      <c r="AI18" s="19">
        <f>SUM(AK18-AJ18)/AJ18</f>
        <v>0.185333649800425</v>
      </c>
      <c r="AJ18" s="20">
        <f t="shared" si="7"/>
        <v>1152937.15</v>
      </c>
      <c r="AK18" s="45">
        <f>AVERAGE(AK5:AK16)</f>
        <v>1366615.2</v>
      </c>
      <c r="AL18" s="45">
        <f>AVERAGE(AL5:AL16)</f>
        <v>1330334.8333333333</v>
      </c>
      <c r="AM18" s="46">
        <f>AVERAGE(AM5:AM16)</f>
        <v>1238140.25</v>
      </c>
      <c r="AN18" s="46">
        <f aca="true" t="shared" si="15" ref="AN18:AW18">AVERAGE(AN5:AN16)</f>
        <v>1165301.3333333333</v>
      </c>
      <c r="AO18" s="46">
        <f t="shared" si="15"/>
        <v>1068702.5</v>
      </c>
      <c r="AP18" s="46">
        <f t="shared" si="15"/>
        <v>962206.8333333334</v>
      </c>
      <c r="AQ18" s="46">
        <f t="shared" si="15"/>
        <v>997425.4166666666</v>
      </c>
      <c r="AR18" s="46">
        <f t="shared" si="15"/>
        <v>985363.5833333334</v>
      </c>
      <c r="AS18" s="46">
        <f t="shared" si="15"/>
        <v>930803.6666666666</v>
      </c>
      <c r="AT18" s="46">
        <f t="shared" si="15"/>
        <v>899769.0833333334</v>
      </c>
      <c r="AU18" s="46">
        <f t="shared" si="15"/>
        <v>802002</v>
      </c>
      <c r="AV18" s="46">
        <f t="shared" si="15"/>
        <v>757184.8333333334</v>
      </c>
      <c r="AW18" s="57">
        <f t="shared" si="15"/>
        <v>662785.75</v>
      </c>
      <c r="AX18" s="91">
        <f>SUM(BA18-BB18)/BB18</f>
        <v>-0.18732651058460675</v>
      </c>
      <c r="AY18" s="22">
        <f>SUM(BA18-AZ18)/AZ18</f>
        <v>0.2914149245219128</v>
      </c>
      <c r="AZ18" s="23">
        <f t="shared" si="5"/>
        <v>1870.3</v>
      </c>
      <c r="BA18" s="47">
        <f>AVERAGE(BA5:BA16)</f>
        <v>2415.3333333333335</v>
      </c>
      <c r="BB18" s="47">
        <f>AVERAGE(BB5:BB16)</f>
        <v>2972.0833333333335</v>
      </c>
      <c r="BC18" s="47">
        <f>AVERAGE(BC5:BC16)</f>
        <v>2366.75</v>
      </c>
      <c r="BD18" s="47">
        <f aca="true" t="shared" si="16" ref="BD18:BM18">AVERAGE(BD5:BD16)</f>
        <v>1177</v>
      </c>
      <c r="BE18" s="47">
        <f t="shared" si="16"/>
        <v>1296.25</v>
      </c>
      <c r="BF18" s="47">
        <f t="shared" si="16"/>
        <v>1539.4166666666667</v>
      </c>
      <c r="BG18" s="47">
        <f t="shared" si="16"/>
        <v>1534.75</v>
      </c>
      <c r="BH18" s="47">
        <f t="shared" si="16"/>
        <v>1601.25</v>
      </c>
      <c r="BI18" s="47">
        <f t="shared" si="16"/>
        <v>1182.5454545454545</v>
      </c>
      <c r="BJ18" s="47">
        <f t="shared" si="16"/>
        <v>1210.6</v>
      </c>
      <c r="BK18" s="47">
        <f t="shared" si="16"/>
        <v>1185.6666666666667</v>
      </c>
      <c r="BL18" s="47">
        <f t="shared" si="16"/>
        <v>1241.6666666666667</v>
      </c>
      <c r="BM18" s="68">
        <f t="shared" si="16"/>
        <v>1063</v>
      </c>
      <c r="BN18" s="172">
        <f>SUM(BQ18-BR18)/BR18</f>
        <v>0.020678269688262477</v>
      </c>
      <c r="BO18" s="173">
        <f>SUM(BQ18-BP18)/BP18</f>
        <v>0.2367049557615395</v>
      </c>
      <c r="BP18" s="174">
        <f t="shared" si="6"/>
        <v>136312.38333333333</v>
      </c>
      <c r="BQ18" s="42">
        <f>AVERAGE(BQ5:BQ16)</f>
        <v>168578.2</v>
      </c>
      <c r="BR18" s="42">
        <f>AVERAGE(BR5:BR16)</f>
        <v>165162.91666666666</v>
      </c>
      <c r="BS18" s="42">
        <f aca="true" t="shared" si="17" ref="BS18:CF18">AVERAGE(BS5:BS16)</f>
        <v>150744.41666666666</v>
      </c>
      <c r="BT18" s="42">
        <f t="shared" si="17"/>
        <v>137189.91666666666</v>
      </c>
      <c r="BU18" s="42">
        <f t="shared" si="17"/>
        <v>119814.91666666667</v>
      </c>
      <c r="BV18" s="42">
        <f t="shared" si="17"/>
        <v>108649.75</v>
      </c>
      <c r="BW18" s="42">
        <f t="shared" si="17"/>
        <v>112293.08333333333</v>
      </c>
      <c r="BX18" s="42">
        <f t="shared" si="17"/>
        <v>108878.08333333333</v>
      </c>
      <c r="BY18" s="42">
        <f t="shared" si="17"/>
        <v>104324.25</v>
      </c>
      <c r="BZ18" s="42">
        <f t="shared" si="17"/>
        <v>102727.08333333333</v>
      </c>
      <c r="CA18" s="42">
        <f t="shared" si="17"/>
        <v>95113.08333333333</v>
      </c>
      <c r="CB18" s="42">
        <f t="shared" si="17"/>
        <v>89820.5</v>
      </c>
      <c r="CC18" s="42">
        <f t="shared" si="17"/>
        <v>74508.75</v>
      </c>
      <c r="CD18" s="42">
        <f t="shared" si="17"/>
        <v>65501.916666666664</v>
      </c>
      <c r="CE18" s="42">
        <f t="shared" si="17"/>
        <v>70521.33333333333</v>
      </c>
      <c r="CF18" s="48">
        <f t="shared" si="17"/>
        <v>71672.08333333333</v>
      </c>
    </row>
    <row r="19" spans="1:84" ht="12.75">
      <c r="A19" s="1"/>
      <c r="B19" s="1"/>
      <c r="C19" s="1"/>
      <c r="D19" s="1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1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1"/>
      <c r="AY19" s="1"/>
      <c r="AZ19" s="1"/>
      <c r="BA19" s="2"/>
      <c r="BB19" s="2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03"/>
      <c r="BO19" s="103"/>
      <c r="BP19" s="103"/>
      <c r="BQ19" s="110"/>
      <c r="BR19" s="110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71" ht="13.5" thickBot="1">
      <c r="A20" s="13" t="s">
        <v>73</v>
      </c>
      <c r="B20" s="12" t="s">
        <v>76</v>
      </c>
      <c r="E20" s="2"/>
      <c r="F20" s="2"/>
      <c r="G20" s="2"/>
      <c r="U20" s="2">
        <f>SUM(U5:U10)</f>
        <v>208553</v>
      </c>
      <c r="V20" s="2">
        <f>SUM(V5:V10)</f>
        <v>272526</v>
      </c>
      <c r="W20" s="2">
        <f>SUM(W5:W10)</f>
        <v>294010</v>
      </c>
      <c r="BA20" s="2">
        <f>SUM(BA5:BA10)</f>
        <v>7246</v>
      </c>
      <c r="BB20" s="2">
        <f>SUM(BB5:BB10)</f>
        <v>16995</v>
      </c>
      <c r="BC20" s="2">
        <f>SUM(BC5:BC10)</f>
        <v>13792</v>
      </c>
      <c r="BP20" s="168"/>
      <c r="BQ20" s="110"/>
      <c r="BR20" s="110"/>
      <c r="BS20" s="2"/>
    </row>
    <row r="21" spans="5:71" ht="12.75">
      <c r="E21" s="2"/>
      <c r="F21" s="2"/>
      <c r="G21" s="2"/>
      <c r="H21" s="186" t="s">
        <v>76</v>
      </c>
      <c r="I21" s="187"/>
      <c r="J21" s="187"/>
      <c r="K21" s="188"/>
      <c r="L21" s="189"/>
      <c r="M21" s="189"/>
      <c r="N21" s="190"/>
      <c r="O21" s="1"/>
      <c r="P21" s="1"/>
      <c r="U21" s="2">
        <f>SUM(V11:V16)</f>
        <v>226219</v>
      </c>
      <c r="V21" s="2">
        <f>SUM(W11:W16)</f>
        <v>290853</v>
      </c>
      <c r="W21" s="2">
        <f>SUM(X11:X16)</f>
        <v>333084</v>
      </c>
      <c r="BA21" s="2">
        <f>SUM(BB11:BB16)</f>
        <v>18670</v>
      </c>
      <c r="BB21" s="2">
        <f>SUM(BC11:BC16)</f>
        <v>14609</v>
      </c>
      <c r="BC21" s="2">
        <f>SUM(BD11:BD16)</f>
        <v>7034</v>
      </c>
      <c r="BQ21" s="110"/>
      <c r="BR21" s="110"/>
      <c r="BS21" s="2"/>
    </row>
    <row r="22" spans="8:16" ht="12.75">
      <c r="H22" s="2161" t="s">
        <v>84</v>
      </c>
      <c r="I22" s="2162"/>
      <c r="J22" s="2162"/>
      <c r="K22" s="2162"/>
      <c r="L22" s="2162"/>
      <c r="M22" s="2162"/>
      <c r="N22" s="2163"/>
      <c r="O22" s="1"/>
      <c r="P22" s="1"/>
    </row>
    <row r="23" spans="8:16" ht="12.75">
      <c r="H23" s="191"/>
      <c r="I23" s="2159" t="s">
        <v>15</v>
      </c>
      <c r="J23" s="2159"/>
      <c r="K23" s="2159"/>
      <c r="L23" s="2159" t="s">
        <v>98</v>
      </c>
      <c r="M23" s="2159"/>
      <c r="N23" s="2160"/>
      <c r="O23" s="1"/>
      <c r="P23" s="1"/>
    </row>
    <row r="24" spans="8:16" ht="12.75">
      <c r="H24" s="191"/>
      <c r="I24" s="182">
        <v>2006</v>
      </c>
      <c r="J24" s="182">
        <v>2005</v>
      </c>
      <c r="K24" s="183" t="s">
        <v>44</v>
      </c>
      <c r="L24" s="182">
        <v>2006</v>
      </c>
      <c r="M24" s="182">
        <v>2005</v>
      </c>
      <c r="N24" s="192" t="s">
        <v>44</v>
      </c>
      <c r="O24" s="1"/>
      <c r="P24" s="1"/>
    </row>
    <row r="25" spans="8:16" ht="12.75">
      <c r="H25" s="2158" t="s">
        <v>78</v>
      </c>
      <c r="I25" s="2159"/>
      <c r="J25" s="2159"/>
      <c r="K25" s="2159"/>
      <c r="L25" s="2159"/>
      <c r="M25" s="2159"/>
      <c r="N25" s="2160"/>
      <c r="O25" s="1"/>
      <c r="P25" s="1"/>
    </row>
    <row r="26" spans="8:16" ht="12.75">
      <c r="H26" s="193" t="s">
        <v>79</v>
      </c>
      <c r="I26" s="194">
        <v>1396400</v>
      </c>
      <c r="J26" s="194">
        <v>1288197</v>
      </c>
      <c r="K26" s="159">
        <f>SUM(I26-J26)/J26</f>
        <v>0.08399569320530943</v>
      </c>
      <c r="L26" s="184">
        <f>SUM(E5:E7)</f>
        <v>3931834</v>
      </c>
      <c r="M26" s="184">
        <f>SUM(F5:F7)</f>
        <v>3623484</v>
      </c>
      <c r="N26" s="160">
        <f>SUM(L26-M26)/M26</f>
        <v>0.08509765739271927</v>
      </c>
      <c r="O26" s="1"/>
      <c r="P26" s="1"/>
    </row>
    <row r="27" spans="8:16" ht="12.75">
      <c r="H27" s="193" t="s">
        <v>80</v>
      </c>
      <c r="I27" s="194">
        <v>46509</v>
      </c>
      <c r="J27" s="194">
        <v>46292</v>
      </c>
      <c r="K27" s="159">
        <f>SUM(I27-J27)/J27</f>
        <v>0.0046876350125291625</v>
      </c>
      <c r="L27" s="184">
        <f>SUM(U5:U7)</f>
        <v>135181</v>
      </c>
      <c r="M27" s="184">
        <f>SUM(V5:V7)</f>
        <v>120379</v>
      </c>
      <c r="N27" s="160">
        <f>SUM(L27-M27)/M27</f>
        <v>0.12296164613429253</v>
      </c>
      <c r="O27" s="1"/>
      <c r="P27" s="1"/>
    </row>
    <row r="28" spans="8:16" ht="12.75">
      <c r="H28" s="193" t="s">
        <v>50</v>
      </c>
      <c r="I28" s="184">
        <f>SUM(I26:I27)</f>
        <v>1442909</v>
      </c>
      <c r="J28" s="184">
        <f>SUM(J26:J27)</f>
        <v>1334489</v>
      </c>
      <c r="K28" s="159">
        <f>SUM(I28-J28)/J28</f>
        <v>0.0812445812591936</v>
      </c>
      <c r="L28" s="184">
        <f>SUM(L26:L27)</f>
        <v>4067015</v>
      </c>
      <c r="M28" s="184">
        <f>SUM(M26:M27)</f>
        <v>3743863</v>
      </c>
      <c r="N28" s="160">
        <f>SUM(L28-M28)/M28</f>
        <v>0.08631512424466387</v>
      </c>
      <c r="O28" s="1"/>
      <c r="P28" s="1"/>
    </row>
    <row r="29" spans="8:16" ht="12.75">
      <c r="H29" s="2158" t="s">
        <v>81</v>
      </c>
      <c r="I29" s="2164"/>
      <c r="J29" s="2164"/>
      <c r="K29" s="2164"/>
      <c r="L29" s="2164"/>
      <c r="M29" s="2164"/>
      <c r="N29" s="2165"/>
      <c r="O29" s="1"/>
      <c r="P29" s="1"/>
    </row>
    <row r="30" spans="8:16" ht="12.75">
      <c r="H30" s="193" t="s">
        <v>82</v>
      </c>
      <c r="I30" s="194">
        <v>172121</v>
      </c>
      <c r="J30" s="194">
        <v>162172</v>
      </c>
      <c r="K30" s="159">
        <f>SUM(I30-J30)/J30</f>
        <v>0.061348444861011764</v>
      </c>
      <c r="L30" s="184">
        <f>SUM(BQ5:BQ7)</f>
        <v>504147</v>
      </c>
      <c r="M30" s="184">
        <f>SUM(BR5:BR7)</f>
        <v>459379</v>
      </c>
      <c r="N30" s="160">
        <f>SUM(L30-M30)/M30</f>
        <v>0.0974533010869021</v>
      </c>
      <c r="O30" s="1"/>
      <c r="P30" s="1"/>
    </row>
    <row r="31" spans="7:14" ht="12.75">
      <c r="G31" s="1"/>
      <c r="H31" s="193" t="s">
        <v>83</v>
      </c>
      <c r="I31" s="194">
        <v>2664</v>
      </c>
      <c r="J31" s="194">
        <v>2968</v>
      </c>
      <c r="K31" s="159">
        <f>SUM(I31-J31)/J31</f>
        <v>-0.10242587601078167</v>
      </c>
      <c r="L31" s="185">
        <f>SUM(BA5:BA7)</f>
        <v>7246</v>
      </c>
      <c r="M31" s="185">
        <f>SUM(BB5:BB7)</f>
        <v>7721</v>
      </c>
      <c r="N31" s="160">
        <f>SUM(L31-M31)/M31</f>
        <v>-0.06152052842895998</v>
      </c>
    </row>
    <row r="32" spans="7:14" ht="12.75">
      <c r="G32" s="1"/>
      <c r="H32" s="193" t="s">
        <v>85</v>
      </c>
      <c r="I32" s="184">
        <v>155</v>
      </c>
      <c r="J32" s="184">
        <v>130</v>
      </c>
      <c r="K32" s="159">
        <f>SUM(I32-J32)/J32</f>
        <v>0.19230769230769232</v>
      </c>
      <c r="L32" s="185">
        <v>328</v>
      </c>
      <c r="M32" s="185">
        <v>265</v>
      </c>
      <c r="N32" s="160">
        <f>SUM(L32-M32)/M32</f>
        <v>0.23773584905660378</v>
      </c>
    </row>
    <row r="33" spans="8:14" ht="13.5" thickBot="1">
      <c r="H33" s="2166" t="s">
        <v>86</v>
      </c>
      <c r="I33" s="2167"/>
      <c r="J33" s="2167"/>
      <c r="K33" s="2167"/>
      <c r="L33" s="2167"/>
      <c r="M33" s="2167"/>
      <c r="N33" s="2168"/>
    </row>
    <row r="34" spans="12:14" ht="12.75">
      <c r="L34" s="1"/>
      <c r="M34" s="1"/>
      <c r="N34" s="1"/>
    </row>
  </sheetData>
  <mergeCells count="12">
    <mergeCell ref="H25:N25"/>
    <mergeCell ref="H22:N22"/>
    <mergeCell ref="H29:N29"/>
    <mergeCell ref="H33:N33"/>
    <mergeCell ref="L23:N23"/>
    <mergeCell ref="I23:K23"/>
    <mergeCell ref="A1:A4"/>
    <mergeCell ref="BN3:CF3"/>
    <mergeCell ref="B3:Q3"/>
    <mergeCell ref="R3:AG3"/>
    <mergeCell ref="AH3:AW3"/>
    <mergeCell ref="AX3:BM3"/>
  </mergeCells>
  <hyperlinks>
    <hyperlink ref="B20" r:id="rId1" display="Virginia Port Authority"/>
  </hyperlinks>
  <printOptions/>
  <pageMargins left="0.75" right="0.75" top="1" bottom="1" header="0.5" footer="0.5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B18" sqref="B18"/>
    </sheetView>
  </sheetViews>
  <sheetFormatPr defaultColWidth="9.140625" defaultRowHeight="12.75"/>
  <cols>
    <col min="1" max="1" width="14.421875" style="0" bestFit="1" customWidth="1"/>
    <col min="2" max="2" width="6.7109375" style="0" bestFit="1" customWidth="1"/>
    <col min="3" max="4" width="7.421875" style="0" bestFit="1" customWidth="1"/>
    <col min="5" max="5" width="6.7109375" style="0" bestFit="1" customWidth="1"/>
    <col min="6" max="7" width="7.421875" style="0" bestFit="1" customWidth="1"/>
    <col min="8" max="8" width="6.7109375" style="0" bestFit="1" customWidth="1"/>
    <col min="9" max="10" width="7.421875" style="0" bestFit="1" customWidth="1"/>
    <col min="11" max="11" width="6.7109375" style="0" bestFit="1" customWidth="1"/>
    <col min="12" max="13" width="7.421875" style="0" bestFit="1" customWidth="1"/>
    <col min="14" max="14" width="6.140625" style="0" bestFit="1" customWidth="1"/>
    <col min="15" max="16" width="6.57421875" style="0" bestFit="1" customWidth="1"/>
  </cols>
  <sheetData>
    <row r="1" spans="1:16" ht="34.5" thickBot="1">
      <c r="A1" s="1860" t="s">
        <v>238</v>
      </c>
      <c r="B1" s="554" t="s">
        <v>179</v>
      </c>
      <c r="C1" s="466">
        <v>2008</v>
      </c>
      <c r="D1" s="466">
        <v>2007</v>
      </c>
      <c r="E1" s="496" t="s">
        <v>179</v>
      </c>
      <c r="F1" s="112">
        <v>2008</v>
      </c>
      <c r="G1" s="112">
        <v>2007</v>
      </c>
      <c r="H1" s="331" t="s">
        <v>179</v>
      </c>
      <c r="I1" s="177">
        <v>2008</v>
      </c>
      <c r="J1" s="177">
        <v>2007</v>
      </c>
      <c r="K1" s="460" t="s">
        <v>179</v>
      </c>
      <c r="L1" s="130">
        <v>2008</v>
      </c>
      <c r="M1" s="130">
        <v>2007</v>
      </c>
      <c r="N1" s="501" t="s">
        <v>179</v>
      </c>
      <c r="O1" s="114">
        <v>2008</v>
      </c>
      <c r="P1" s="134">
        <v>2007</v>
      </c>
    </row>
    <row r="2" spans="1:16" ht="13.5" thickBot="1">
      <c r="A2" s="309"/>
      <c r="B2" s="1894" t="s">
        <v>100</v>
      </c>
      <c r="C2" s="1895"/>
      <c r="D2" s="1895"/>
      <c r="E2" s="1896" t="s">
        <v>69</v>
      </c>
      <c r="F2" s="1896"/>
      <c r="G2" s="1896"/>
      <c r="H2" s="1891" t="s">
        <v>71</v>
      </c>
      <c r="I2" s="1892"/>
      <c r="J2" s="1892"/>
      <c r="K2" s="1890" t="s">
        <v>49</v>
      </c>
      <c r="L2" s="1896"/>
      <c r="M2" s="1896"/>
      <c r="N2" s="1890" t="s">
        <v>116</v>
      </c>
      <c r="O2" s="1896"/>
      <c r="P2" s="1879"/>
    </row>
    <row r="3" spans="1:16" ht="12.75">
      <c r="A3" s="750" t="s">
        <v>13</v>
      </c>
      <c r="B3" s="1823">
        <f>SUM(C3-D3)/D3</f>
        <v>0.22884012539184953</v>
      </c>
      <c r="C3" s="703">
        <v>39200</v>
      </c>
      <c r="D3" s="703">
        <v>31900</v>
      </c>
      <c r="E3" s="1824">
        <f>SUM(F3-G3)/G3</f>
        <v>0.018018018018018018</v>
      </c>
      <c r="F3" s="705">
        <v>33900</v>
      </c>
      <c r="G3" s="1182">
        <v>33300</v>
      </c>
      <c r="H3" s="1825">
        <f>SUM(I3-J3)/J3</f>
        <v>0.12116564417177914</v>
      </c>
      <c r="I3" s="1826">
        <f>+C3+F3</f>
        <v>73100</v>
      </c>
      <c r="J3" s="1827">
        <f aca="true" t="shared" si="0" ref="J3:J14">+D3+G3</f>
        <v>65200</v>
      </c>
      <c r="K3" s="1828">
        <f>SUM(L3-M3)/M3</f>
        <v>0.11440677966101695</v>
      </c>
      <c r="L3" s="1829">
        <v>26300</v>
      </c>
      <c r="M3" s="1829">
        <v>23600</v>
      </c>
      <c r="N3" s="1830">
        <f>SUM(O3-P3)/P3</f>
        <v>0.11936936936936937</v>
      </c>
      <c r="O3" s="1831">
        <f aca="true" t="shared" si="1" ref="O3:P7">+I3+L3</f>
        <v>99400</v>
      </c>
      <c r="P3" s="1832">
        <f t="shared" si="1"/>
        <v>88800</v>
      </c>
    </row>
    <row r="4" spans="1:16" ht="12.75">
      <c r="A4" s="762" t="s">
        <v>14</v>
      </c>
      <c r="B4" s="1630">
        <f>SUM(C4-D4)/D4</f>
        <v>0.2048611111111111</v>
      </c>
      <c r="C4" s="703">
        <v>34700</v>
      </c>
      <c r="D4" s="703">
        <v>28800</v>
      </c>
      <c r="E4" s="1833">
        <f>SUM(F4-G4)/G4</f>
        <v>0.26595744680851063</v>
      </c>
      <c r="F4" s="705">
        <v>35700</v>
      </c>
      <c r="G4" s="1182">
        <v>28200</v>
      </c>
      <c r="H4" s="1834">
        <f>SUM(I4-J4)/J4</f>
        <v>0.23508771929824562</v>
      </c>
      <c r="I4" s="1835">
        <f>+C4+F4</f>
        <v>70400</v>
      </c>
      <c r="J4" s="1836">
        <f t="shared" si="0"/>
        <v>57000</v>
      </c>
      <c r="K4" s="1828">
        <f>SUM(L4-M4)/M4</f>
        <v>0.10869565217391304</v>
      </c>
      <c r="L4" s="1829">
        <v>20400</v>
      </c>
      <c r="M4" s="1829">
        <v>18400</v>
      </c>
      <c r="N4" s="1837">
        <f>SUM(O4-P4)/P4</f>
        <v>0.20424403183023873</v>
      </c>
      <c r="O4" s="735">
        <f t="shared" si="1"/>
        <v>90800</v>
      </c>
      <c r="P4" s="1838">
        <f t="shared" si="1"/>
        <v>75400</v>
      </c>
    </row>
    <row r="5" spans="1:16" ht="12.75">
      <c r="A5" s="762" t="s">
        <v>15</v>
      </c>
      <c r="B5" s="1630">
        <f>SUM(C5-D5)/D5</f>
        <v>0.147239263803681</v>
      </c>
      <c r="C5" s="703">
        <v>37400</v>
      </c>
      <c r="D5" s="703">
        <v>32600</v>
      </c>
      <c r="E5" s="1833">
        <f>SUM(F5-G5)/G5</f>
        <v>-0.04261363636363636</v>
      </c>
      <c r="F5" s="705">
        <v>33700</v>
      </c>
      <c r="G5" s="1182">
        <v>35200</v>
      </c>
      <c r="H5" s="1834">
        <f>SUM(I5-J5)/J5</f>
        <v>0.048672566371681415</v>
      </c>
      <c r="I5" s="1835">
        <f>+C5+F5</f>
        <v>71100</v>
      </c>
      <c r="J5" s="1836">
        <f t="shared" si="0"/>
        <v>67800</v>
      </c>
      <c r="K5" s="1828">
        <f>SUM(L5-M5)/M5</f>
        <v>0.10747663551401869</v>
      </c>
      <c r="L5" s="1829">
        <v>23700</v>
      </c>
      <c r="M5" s="1829">
        <v>21400</v>
      </c>
      <c r="N5" s="1837">
        <f>SUM(O5-P5)/P5</f>
        <v>0.06278026905829596</v>
      </c>
      <c r="O5" s="735">
        <f t="shared" si="1"/>
        <v>94800</v>
      </c>
      <c r="P5" s="1838">
        <f t="shared" si="1"/>
        <v>89200</v>
      </c>
    </row>
    <row r="6" spans="1:16" ht="12.75">
      <c r="A6" s="762" t="s">
        <v>16</v>
      </c>
      <c r="B6" s="1630">
        <f>SUM(C6-D6)/D6</f>
        <v>0.3401360544217687</v>
      </c>
      <c r="C6" s="703">
        <v>39400</v>
      </c>
      <c r="D6" s="703">
        <v>29400</v>
      </c>
      <c r="E6" s="1833">
        <f>SUM(F6-G6)/G6</f>
        <v>0.14705882352941177</v>
      </c>
      <c r="F6" s="705">
        <v>35100</v>
      </c>
      <c r="G6" s="1182">
        <v>30600</v>
      </c>
      <c r="H6" s="1834">
        <f>SUM(I6-J6)/J6</f>
        <v>0.24166666666666667</v>
      </c>
      <c r="I6" s="1835">
        <f>+C6+F6</f>
        <v>74500</v>
      </c>
      <c r="J6" s="1836">
        <f t="shared" si="0"/>
        <v>60000</v>
      </c>
      <c r="K6" s="1828">
        <f>SUM(L6-M6)/M6</f>
        <v>-0.1038961038961039</v>
      </c>
      <c r="L6" s="1829">
        <v>20700</v>
      </c>
      <c r="M6" s="1829">
        <v>23100</v>
      </c>
      <c r="N6" s="1837">
        <f>SUM(O6-P6)/P6</f>
        <v>0.14560770156438027</v>
      </c>
      <c r="O6" s="735">
        <f t="shared" si="1"/>
        <v>95200</v>
      </c>
      <c r="P6" s="1838">
        <f t="shared" si="1"/>
        <v>83100</v>
      </c>
    </row>
    <row r="7" spans="1:16" ht="12.75">
      <c r="A7" s="762" t="s">
        <v>17</v>
      </c>
      <c r="B7" s="1630">
        <f>SUM(C7-D7)/D7</f>
        <v>0.13903743315508021</v>
      </c>
      <c r="C7" s="703">
        <v>42600</v>
      </c>
      <c r="D7" s="703">
        <v>37400</v>
      </c>
      <c r="E7" s="1833">
        <f>SUM(F7-G7)/G7</f>
        <v>0.03485254691689008</v>
      </c>
      <c r="F7" s="705">
        <v>38600</v>
      </c>
      <c r="G7" s="1182">
        <v>37300</v>
      </c>
      <c r="H7" s="1834">
        <f>SUM(I7-J7)/J7</f>
        <v>0.08701472556894244</v>
      </c>
      <c r="I7" s="1835">
        <f>+C7+F7</f>
        <v>81200</v>
      </c>
      <c r="J7" s="1836">
        <f t="shared" si="0"/>
        <v>74700</v>
      </c>
      <c r="K7" s="1828">
        <f>SUM(L7-M7)/M7</f>
        <v>0.06451612903225806</v>
      </c>
      <c r="L7" s="1829">
        <v>26400</v>
      </c>
      <c r="M7" s="1829">
        <v>24800</v>
      </c>
      <c r="N7" s="1837">
        <f>SUM(O7-P7)/P7</f>
        <v>0.0814070351758794</v>
      </c>
      <c r="O7" s="735">
        <f t="shared" si="1"/>
        <v>107600</v>
      </c>
      <c r="P7" s="1838">
        <f t="shared" si="1"/>
        <v>99500</v>
      </c>
    </row>
    <row r="8" spans="1:16" ht="12.75">
      <c r="A8" s="762" t="s">
        <v>18</v>
      </c>
      <c r="B8" s="1630"/>
      <c r="C8" s="737"/>
      <c r="D8" s="703">
        <v>37100</v>
      </c>
      <c r="E8" s="1833"/>
      <c r="F8" s="541"/>
      <c r="G8" s="1182">
        <v>36500</v>
      </c>
      <c r="H8" s="1834"/>
      <c r="I8" s="1835"/>
      <c r="J8" s="1836">
        <f t="shared" si="0"/>
        <v>73600</v>
      </c>
      <c r="K8" s="1828"/>
      <c r="L8" s="678"/>
      <c r="M8" s="1829">
        <v>23700</v>
      </c>
      <c r="N8" s="1837"/>
      <c r="O8" s="735"/>
      <c r="P8" s="1838">
        <f aca="true" t="shared" si="2" ref="P8:P15">+J8+M8</f>
        <v>97300</v>
      </c>
    </row>
    <row r="9" spans="1:16" ht="12.75">
      <c r="A9" s="762" t="s">
        <v>19</v>
      </c>
      <c r="B9" s="1630"/>
      <c r="C9" s="737"/>
      <c r="D9" s="703">
        <v>39200</v>
      </c>
      <c r="E9" s="1833"/>
      <c r="F9" s="541"/>
      <c r="G9" s="1182">
        <v>37700</v>
      </c>
      <c r="H9" s="1834"/>
      <c r="I9" s="1835"/>
      <c r="J9" s="1836">
        <f t="shared" si="0"/>
        <v>76900</v>
      </c>
      <c r="K9" s="1828"/>
      <c r="L9" s="678"/>
      <c r="M9" s="1829">
        <v>27800</v>
      </c>
      <c r="N9" s="1837"/>
      <c r="O9" s="735"/>
      <c r="P9" s="1838">
        <f t="shared" si="2"/>
        <v>104700</v>
      </c>
    </row>
    <row r="10" spans="1:16" ht="12.75">
      <c r="A10" s="762" t="s">
        <v>20</v>
      </c>
      <c r="B10" s="1630"/>
      <c r="C10" s="737"/>
      <c r="D10" s="703">
        <v>40600</v>
      </c>
      <c r="E10" s="1833"/>
      <c r="F10" s="541"/>
      <c r="G10" s="1182">
        <v>40700</v>
      </c>
      <c r="H10" s="1834"/>
      <c r="I10" s="1835"/>
      <c r="J10" s="1836">
        <f t="shared" si="0"/>
        <v>81300</v>
      </c>
      <c r="K10" s="1828"/>
      <c r="L10" s="678"/>
      <c r="M10" s="1829">
        <v>23200</v>
      </c>
      <c r="N10" s="1837"/>
      <c r="O10" s="735"/>
      <c r="P10" s="1838">
        <f t="shared" si="2"/>
        <v>104500</v>
      </c>
    </row>
    <row r="11" spans="1:16" ht="12.75">
      <c r="A11" s="762" t="s">
        <v>21</v>
      </c>
      <c r="B11" s="1630"/>
      <c r="C11" s="737"/>
      <c r="D11" s="703">
        <v>41900</v>
      </c>
      <c r="E11" s="1833"/>
      <c r="F11" s="541"/>
      <c r="G11" s="1182">
        <v>40400</v>
      </c>
      <c r="H11" s="1834"/>
      <c r="I11" s="1835"/>
      <c r="J11" s="1836">
        <f t="shared" si="0"/>
        <v>82300</v>
      </c>
      <c r="K11" s="1828"/>
      <c r="L11" s="678"/>
      <c r="M11" s="1829">
        <v>14700</v>
      </c>
      <c r="N11" s="1837"/>
      <c r="O11" s="735"/>
      <c r="P11" s="1838">
        <f t="shared" si="2"/>
        <v>97000</v>
      </c>
    </row>
    <row r="12" spans="1:16" ht="12.75">
      <c r="A12" s="762" t="s">
        <v>22</v>
      </c>
      <c r="B12" s="1630"/>
      <c r="C12" s="737"/>
      <c r="D12" s="703">
        <v>45400</v>
      </c>
      <c r="E12" s="1833"/>
      <c r="F12" s="541"/>
      <c r="G12" s="1182">
        <v>36300</v>
      </c>
      <c r="H12" s="1834"/>
      <c r="I12" s="1835"/>
      <c r="J12" s="1836">
        <f t="shared" si="0"/>
        <v>81700</v>
      </c>
      <c r="K12" s="1828"/>
      <c r="L12" s="678"/>
      <c r="M12" s="1829">
        <v>22600</v>
      </c>
      <c r="N12" s="1837"/>
      <c r="O12" s="735"/>
      <c r="P12" s="1838">
        <f t="shared" si="2"/>
        <v>104300</v>
      </c>
    </row>
    <row r="13" spans="1:16" ht="12.75">
      <c r="A13" s="762" t="s">
        <v>23</v>
      </c>
      <c r="B13" s="1630"/>
      <c r="C13" s="1206"/>
      <c r="D13" s="703">
        <v>46700</v>
      </c>
      <c r="E13" s="1833"/>
      <c r="F13" s="1207"/>
      <c r="G13" s="1182">
        <v>38700</v>
      </c>
      <c r="H13" s="1834"/>
      <c r="I13" s="1835"/>
      <c r="J13" s="1836">
        <f t="shared" si="0"/>
        <v>85400</v>
      </c>
      <c r="K13" s="1828"/>
      <c r="L13" s="678"/>
      <c r="M13" s="1829">
        <v>19700</v>
      </c>
      <c r="N13" s="1837"/>
      <c r="O13" s="735"/>
      <c r="P13" s="1838">
        <f t="shared" si="2"/>
        <v>105100</v>
      </c>
    </row>
    <row r="14" spans="1:16" ht="13.5" thickBot="1">
      <c r="A14" s="1205" t="s">
        <v>24</v>
      </c>
      <c r="B14" s="1632"/>
      <c r="C14" s="1839"/>
      <c r="D14" s="703">
        <v>39900</v>
      </c>
      <c r="E14" s="1840"/>
      <c r="F14" s="1841"/>
      <c r="G14" s="1182">
        <v>32900</v>
      </c>
      <c r="H14" s="1842"/>
      <c r="I14" s="1843"/>
      <c r="J14" s="1844">
        <f t="shared" si="0"/>
        <v>72800</v>
      </c>
      <c r="K14" s="1845"/>
      <c r="L14" s="1846"/>
      <c r="M14" s="1829">
        <v>22100</v>
      </c>
      <c r="N14" s="1847"/>
      <c r="O14" s="1848"/>
      <c r="P14" s="1849">
        <f t="shared" si="2"/>
        <v>94900</v>
      </c>
    </row>
    <row r="15" spans="1:16" ht="12.75">
      <c r="A15" s="1325" t="s">
        <v>25</v>
      </c>
      <c r="B15" s="1850">
        <f>SUM(C15-D15)/D15</f>
        <v>0.20737039350405997</v>
      </c>
      <c r="C15" s="1851">
        <f>SUM(C3:C7)</f>
        <v>193300</v>
      </c>
      <c r="D15" s="1851">
        <f>SUM(D3:D7)</f>
        <v>160100</v>
      </c>
      <c r="E15" s="1850">
        <f>SUM(F15-G15)/G15</f>
        <v>0.07533414337788578</v>
      </c>
      <c r="F15" s="1851">
        <f>SUM(F3:F7)</f>
        <v>177000</v>
      </c>
      <c r="G15" s="1851">
        <f>SUM(G3:G7)</f>
        <v>164600</v>
      </c>
      <c r="H15" s="1852">
        <f>SUM(I15-J15)/J15</f>
        <v>0.140437326763166</v>
      </c>
      <c r="I15" s="1853">
        <f>SUM(I3:I7)</f>
        <v>370300</v>
      </c>
      <c r="J15" s="1853">
        <f>SUM(J3:J7)</f>
        <v>324700</v>
      </c>
      <c r="K15" s="1850">
        <f>SUM(L15-M15)/M15</f>
        <v>0.055705300988319856</v>
      </c>
      <c r="L15" s="1851">
        <f>SUM(L3:L7)</f>
        <v>117500</v>
      </c>
      <c r="M15" s="1854">
        <f>SUM(M3:M7)</f>
        <v>111300</v>
      </c>
      <c r="N15" s="1855">
        <f>SUM(O15-P15)/P15</f>
        <v>0.11880733944954129</v>
      </c>
      <c r="O15" s="810">
        <f>+I15+L15</f>
        <v>487800</v>
      </c>
      <c r="P15" s="1335">
        <f t="shared" si="2"/>
        <v>436000</v>
      </c>
    </row>
    <row r="16" spans="1:16" ht="13.5" thickBot="1">
      <c r="A16" s="1326" t="s">
        <v>28</v>
      </c>
      <c r="B16" s="1856">
        <f>SUM(C16-D16)/D16</f>
        <v>0.028875582168995342</v>
      </c>
      <c r="C16" s="1407">
        <f>AVERAGE(C3:C14)</f>
        <v>38660</v>
      </c>
      <c r="D16" s="1407">
        <f>AVERAGE(D3:D14)</f>
        <v>37575</v>
      </c>
      <c r="E16" s="1857">
        <f>SUM(F16-G16)/G16</f>
        <v>-0.0070126227208976155</v>
      </c>
      <c r="F16" s="1407">
        <f>AVERAGE(F3:F14)</f>
        <v>35400</v>
      </c>
      <c r="G16" s="1407">
        <f>AVERAGE(G3:G14)</f>
        <v>35650</v>
      </c>
      <c r="H16" s="1857">
        <f>SUM(I16-J16)/J16</f>
        <v>0.011403209286445885</v>
      </c>
      <c r="I16" s="1407">
        <f>AVERAGE(I3:I14)</f>
        <v>74060</v>
      </c>
      <c r="J16" s="1407">
        <f>AVERAGE(J3:J14)</f>
        <v>73225</v>
      </c>
      <c r="K16" s="1857">
        <f>SUM(L16-M16)/M16</f>
        <v>0.06374952847981888</v>
      </c>
      <c r="L16" s="1407">
        <f>AVERAGE(L3:L14)</f>
        <v>23500</v>
      </c>
      <c r="M16" s="1858">
        <f>AVERAGE(M3:M14)</f>
        <v>22091.666666666668</v>
      </c>
      <c r="N16" s="1857">
        <f>SUM(O16-P16)/P16</f>
        <v>0.023535583143906226</v>
      </c>
      <c r="O16" s="1407">
        <f>AVERAGE(O3:O14)</f>
        <v>97560</v>
      </c>
      <c r="P16" s="1859">
        <f>AVERAGE(P3:P14)</f>
        <v>95316.66666666667</v>
      </c>
    </row>
  </sheetData>
  <mergeCells count="5">
    <mergeCell ref="N2:P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5.7109375" style="0" customWidth="1"/>
    <col min="2" max="2" width="6.140625" style="0" customWidth="1"/>
    <col min="3" max="9" width="7.7109375" style="0" customWidth="1"/>
    <col min="10" max="10" width="6.140625" style="0" customWidth="1"/>
    <col min="11" max="17" width="7.7109375" style="0" customWidth="1"/>
    <col min="18" max="18" width="5.8515625" style="0" customWidth="1"/>
    <col min="19" max="25" width="6.57421875" style="0" customWidth="1"/>
    <col min="26" max="26" width="6.140625" style="0" customWidth="1"/>
    <col min="27" max="33" width="7.7109375" style="0" customWidth="1"/>
    <col min="34" max="34" width="5.8515625" style="0" customWidth="1"/>
    <col min="35" max="35" width="6.57421875" style="0" customWidth="1"/>
    <col min="36" max="39" width="7.8515625" style="0" customWidth="1"/>
    <col min="40" max="41" width="6.57421875" style="0" customWidth="1"/>
  </cols>
  <sheetData>
    <row r="1" spans="1:41" s="749" customFormat="1" ht="13.5" thickBot="1">
      <c r="A1" s="1866" t="s">
        <v>103</v>
      </c>
      <c r="B1" s="1867"/>
      <c r="C1" s="1868"/>
      <c r="D1" s="1868"/>
      <c r="E1" s="1868"/>
      <c r="F1" s="1868"/>
      <c r="G1" s="1869"/>
      <c r="H1" s="1869"/>
      <c r="I1" s="1869"/>
      <c r="J1" s="1869"/>
      <c r="K1" s="1869"/>
      <c r="L1" s="1869"/>
      <c r="M1" s="1869"/>
      <c r="N1" s="1869"/>
      <c r="O1" s="1869"/>
      <c r="P1" s="1869"/>
      <c r="Q1" s="1869"/>
      <c r="R1" s="1869"/>
      <c r="S1" s="1869"/>
      <c r="T1" s="1869"/>
      <c r="U1" s="1869"/>
      <c r="V1" s="1869"/>
      <c r="W1" s="1869"/>
      <c r="X1" s="1869"/>
      <c r="Y1" s="1869"/>
      <c r="Z1" s="1822"/>
      <c r="AA1" s="1822"/>
      <c r="AB1" s="1822"/>
      <c r="AC1" s="1822"/>
      <c r="AD1" s="1822"/>
      <c r="AE1" s="1822"/>
      <c r="AF1" s="1822"/>
      <c r="AG1" s="1926"/>
      <c r="AH1" s="1927" t="s">
        <v>66</v>
      </c>
      <c r="AI1" s="1928"/>
      <c r="AJ1" s="1928"/>
      <c r="AK1" s="1928"/>
      <c r="AL1" s="1928"/>
      <c r="AM1" s="1869"/>
      <c r="AN1" s="1869"/>
      <c r="AO1" s="1929"/>
    </row>
    <row r="2" spans="1:41" s="749" customFormat="1" ht="35.25" thickBot="1" thickTop="1">
      <c r="A2" s="1902"/>
      <c r="B2" s="1004" t="s">
        <v>179</v>
      </c>
      <c r="C2" s="203">
        <v>2008</v>
      </c>
      <c r="D2" s="203">
        <v>2007</v>
      </c>
      <c r="E2" s="203">
        <v>2006</v>
      </c>
      <c r="F2" s="203">
        <v>2005</v>
      </c>
      <c r="G2" s="203">
        <v>2004</v>
      </c>
      <c r="H2" s="203">
        <v>2003</v>
      </c>
      <c r="I2" s="204">
        <v>2002</v>
      </c>
      <c r="J2" s="1005" t="s">
        <v>179</v>
      </c>
      <c r="K2" s="112">
        <v>2008</v>
      </c>
      <c r="L2" s="112">
        <v>2007</v>
      </c>
      <c r="M2" s="112">
        <v>2006</v>
      </c>
      <c r="N2" s="112">
        <v>2005</v>
      </c>
      <c r="O2" s="112">
        <v>2004</v>
      </c>
      <c r="P2" s="112">
        <v>2003</v>
      </c>
      <c r="Q2" s="113">
        <v>2002</v>
      </c>
      <c r="R2" s="1006" t="s">
        <v>179</v>
      </c>
      <c r="S2" s="177">
        <v>2008</v>
      </c>
      <c r="T2" s="177">
        <v>2007</v>
      </c>
      <c r="U2" s="177">
        <v>2006</v>
      </c>
      <c r="V2" s="177">
        <v>2005</v>
      </c>
      <c r="W2" s="177">
        <v>2004</v>
      </c>
      <c r="X2" s="177">
        <v>2003</v>
      </c>
      <c r="Y2" s="178">
        <v>2002</v>
      </c>
      <c r="Z2" s="1007" t="s">
        <v>179</v>
      </c>
      <c r="AA2" s="130">
        <v>2008</v>
      </c>
      <c r="AB2" s="130">
        <v>2007</v>
      </c>
      <c r="AC2" s="130">
        <v>2006</v>
      </c>
      <c r="AD2" s="130">
        <v>2005</v>
      </c>
      <c r="AE2" s="130">
        <v>2004</v>
      </c>
      <c r="AF2" s="130">
        <v>2003</v>
      </c>
      <c r="AG2" s="227">
        <v>2002</v>
      </c>
      <c r="AH2" s="1008" t="s">
        <v>179</v>
      </c>
      <c r="AI2" s="114">
        <v>2008</v>
      </c>
      <c r="AJ2" s="114">
        <v>2007</v>
      </c>
      <c r="AK2" s="114">
        <v>2006</v>
      </c>
      <c r="AL2" s="114">
        <v>2005</v>
      </c>
      <c r="AM2" s="114">
        <v>2004</v>
      </c>
      <c r="AN2" s="114">
        <v>2003</v>
      </c>
      <c r="AO2" s="134">
        <v>2002</v>
      </c>
    </row>
    <row r="3" spans="1:41" s="789" customFormat="1" ht="13.5" thickBot="1">
      <c r="A3" s="605"/>
      <c r="B3" s="1875" t="s">
        <v>100</v>
      </c>
      <c r="C3" s="1876"/>
      <c r="D3" s="1876"/>
      <c r="E3" s="1876"/>
      <c r="F3" s="1877"/>
      <c r="G3" s="1877"/>
      <c r="H3" s="1877"/>
      <c r="I3" s="1878"/>
      <c r="J3" s="1875" t="s">
        <v>69</v>
      </c>
      <c r="K3" s="1876"/>
      <c r="L3" s="1876"/>
      <c r="M3" s="1876"/>
      <c r="N3" s="1877"/>
      <c r="O3" s="1877"/>
      <c r="P3" s="1877"/>
      <c r="Q3" s="1878"/>
      <c r="R3" s="1875" t="s">
        <v>71</v>
      </c>
      <c r="S3" s="1876"/>
      <c r="T3" s="1876"/>
      <c r="U3" s="1876"/>
      <c r="V3" s="1877"/>
      <c r="W3" s="1877"/>
      <c r="X3" s="1877"/>
      <c r="Y3" s="1878"/>
      <c r="Z3" s="1875" t="s">
        <v>101</v>
      </c>
      <c r="AA3" s="1876"/>
      <c r="AB3" s="1876"/>
      <c r="AC3" s="1876"/>
      <c r="AD3" s="1877"/>
      <c r="AE3" s="1877"/>
      <c r="AF3" s="1877"/>
      <c r="AG3" s="1862"/>
      <c r="AH3" s="492"/>
      <c r="AI3" s="493"/>
      <c r="AJ3" s="493"/>
      <c r="AK3" s="493"/>
      <c r="AL3" s="493"/>
      <c r="AM3" s="493"/>
      <c r="AN3" s="493"/>
      <c r="AO3" s="494"/>
    </row>
    <row r="4" spans="1:41" s="749" customFormat="1" ht="12.75">
      <c r="A4" s="750" t="s">
        <v>13</v>
      </c>
      <c r="B4" s="1779">
        <f aca="true" t="shared" si="0" ref="B4:B10">SUM(C4-D4)/D4</f>
        <v>-0.142163050468002</v>
      </c>
      <c r="C4" s="743">
        <v>54027</v>
      </c>
      <c r="D4" s="743">
        <v>62980.5</v>
      </c>
      <c r="E4" s="703">
        <v>75311.75</v>
      </c>
      <c r="F4" s="703">
        <v>70756.25</v>
      </c>
      <c r="G4" s="703">
        <v>60705.75</v>
      </c>
      <c r="H4" s="703">
        <v>57181</v>
      </c>
      <c r="I4" s="704">
        <v>44308.75</v>
      </c>
      <c r="J4" s="141">
        <f aca="true" t="shared" si="1" ref="J4:J10">SUM(K4-L4)/L4</f>
        <v>-0.001023884431371819</v>
      </c>
      <c r="K4" s="991">
        <v>53662</v>
      </c>
      <c r="L4" s="991">
        <v>53717</v>
      </c>
      <c r="M4" s="700">
        <v>57004.25</v>
      </c>
      <c r="N4" s="700">
        <v>58351</v>
      </c>
      <c r="O4" s="700">
        <v>51109.25</v>
      </c>
      <c r="P4" s="700">
        <v>47984.25</v>
      </c>
      <c r="Q4" s="1181">
        <v>41634.75</v>
      </c>
      <c r="R4" s="213">
        <f aca="true" t="shared" si="2" ref="R4:R9">SUM(S4-T4)/T4</f>
        <v>-0.07719531266736648</v>
      </c>
      <c r="S4" s="179">
        <f aca="true" t="shared" si="3" ref="S4:S9">+C4+K4</f>
        <v>107689</v>
      </c>
      <c r="T4" s="179">
        <f aca="true" t="shared" si="4" ref="T4:T15">+D4+L4</f>
        <v>116697.5</v>
      </c>
      <c r="U4" s="179">
        <f aca="true" t="shared" si="5" ref="U4:U15">+E4+M4</f>
        <v>132316</v>
      </c>
      <c r="V4" s="179">
        <f aca="true" t="shared" si="6" ref="V4:V15">+F4+N4</f>
        <v>129107.25</v>
      </c>
      <c r="W4" s="179">
        <f aca="true" t="shared" si="7" ref="W4:W15">+G4+O4</f>
        <v>111815</v>
      </c>
      <c r="X4" s="179">
        <f aca="true" t="shared" si="8" ref="X4:X15">+H4+P4</f>
        <v>105165.25</v>
      </c>
      <c r="Y4" s="722">
        <f aca="true" t="shared" si="9" ref="Y4:Y15">+I4+Q4</f>
        <v>85943.5</v>
      </c>
      <c r="Z4" s="143">
        <f aca="true" t="shared" si="10" ref="Z4:Z10">SUM(AA4-AB4)/AB4</f>
        <v>-0.22885821146793583</v>
      </c>
      <c r="AA4" s="725">
        <v>21185</v>
      </c>
      <c r="AB4" s="725">
        <v>27472.25</v>
      </c>
      <c r="AC4" s="1011">
        <v>33777.75</v>
      </c>
      <c r="AD4" s="1011">
        <v>34000.5</v>
      </c>
      <c r="AE4" s="215">
        <v>25075.75</v>
      </c>
      <c r="AF4" s="215">
        <v>26844.5</v>
      </c>
      <c r="AG4" s="232">
        <v>15780.25</v>
      </c>
      <c r="AH4" s="175">
        <f aca="true" t="shared" si="11" ref="AH4:AH9">SUM(AI4-AJ4)/AJ4</f>
        <v>-0.10609541876850033</v>
      </c>
      <c r="AI4" s="197">
        <f aca="true" t="shared" si="12" ref="AI4:AI9">+S4+AA4</f>
        <v>128874</v>
      </c>
      <c r="AJ4" s="197">
        <f aca="true" t="shared" si="13" ref="AJ4:AJ15">+T4+AB4</f>
        <v>144169.75</v>
      </c>
      <c r="AK4" s="197">
        <f aca="true" t="shared" si="14" ref="AK4:AK15">+U4+AC4</f>
        <v>166093.75</v>
      </c>
      <c r="AL4" s="197">
        <f aca="true" t="shared" si="15" ref="AL4:AL15">+V4+AD4</f>
        <v>163107.75</v>
      </c>
      <c r="AM4" s="197">
        <f aca="true" t="shared" si="16" ref="AM4:AM15">+W4+AE4</f>
        <v>136890.75</v>
      </c>
      <c r="AN4" s="197">
        <f aca="true" t="shared" si="17" ref="AN4:AN15">+X4+AF4</f>
        <v>132009.75</v>
      </c>
      <c r="AO4" s="198">
        <f aca="true" t="shared" si="18" ref="AO4:AO15">+Y4+AG4</f>
        <v>101723.75</v>
      </c>
    </row>
    <row r="5" spans="1:41" s="749" customFormat="1" ht="12.75">
      <c r="A5" s="762" t="s">
        <v>14</v>
      </c>
      <c r="B5" s="1779">
        <f t="shared" si="0"/>
        <v>0.007706800534027625</v>
      </c>
      <c r="C5" s="743">
        <v>60572.5</v>
      </c>
      <c r="D5" s="743">
        <v>60109.25</v>
      </c>
      <c r="E5" s="703">
        <v>69971.75</v>
      </c>
      <c r="F5" s="703">
        <v>68919</v>
      </c>
      <c r="G5" s="703">
        <v>60765.75</v>
      </c>
      <c r="H5" s="703">
        <v>58143.75</v>
      </c>
      <c r="I5" s="704">
        <v>48187</v>
      </c>
      <c r="J5" s="119">
        <f t="shared" si="1"/>
        <v>0.14081167185576715</v>
      </c>
      <c r="K5" s="933">
        <v>63023</v>
      </c>
      <c r="L5" s="933">
        <v>55244</v>
      </c>
      <c r="M5" s="705">
        <v>49878.75</v>
      </c>
      <c r="N5" s="705">
        <v>56250</v>
      </c>
      <c r="O5" s="705">
        <v>53354</v>
      </c>
      <c r="P5" s="705">
        <v>50098.75</v>
      </c>
      <c r="Q5" s="1182">
        <v>46871</v>
      </c>
      <c r="R5" s="220">
        <f t="shared" si="2"/>
        <v>0.07145225643837516</v>
      </c>
      <c r="S5" s="180">
        <f t="shared" si="3"/>
        <v>123595.5</v>
      </c>
      <c r="T5" s="180">
        <f t="shared" si="4"/>
        <v>115353.25</v>
      </c>
      <c r="U5" s="180">
        <f t="shared" si="5"/>
        <v>119850.5</v>
      </c>
      <c r="V5" s="180">
        <f t="shared" si="6"/>
        <v>125169</v>
      </c>
      <c r="W5" s="180">
        <f t="shared" si="7"/>
        <v>114119.75</v>
      </c>
      <c r="X5" s="180">
        <f t="shared" si="8"/>
        <v>108242.5</v>
      </c>
      <c r="Y5" s="181">
        <f t="shared" si="9"/>
        <v>95058</v>
      </c>
      <c r="Z5" s="132">
        <f t="shared" si="10"/>
        <v>-0.348968563507354</v>
      </c>
      <c r="AA5" s="682">
        <v>17318.25</v>
      </c>
      <c r="AB5" s="682">
        <v>26601.25</v>
      </c>
      <c r="AC5" s="1012">
        <v>31742.25</v>
      </c>
      <c r="AD5" s="1012">
        <v>26422.75</v>
      </c>
      <c r="AE5" s="222">
        <v>23761.75</v>
      </c>
      <c r="AF5" s="222">
        <v>23148.75</v>
      </c>
      <c r="AG5" s="233">
        <v>24552</v>
      </c>
      <c r="AH5" s="120">
        <f t="shared" si="11"/>
        <v>-0.007331574553818301</v>
      </c>
      <c r="AI5" s="121">
        <f t="shared" si="12"/>
        <v>140913.75</v>
      </c>
      <c r="AJ5" s="121">
        <f t="shared" si="13"/>
        <v>141954.5</v>
      </c>
      <c r="AK5" s="121">
        <f t="shared" si="14"/>
        <v>151592.75</v>
      </c>
      <c r="AL5" s="121">
        <f t="shared" si="15"/>
        <v>151591.75</v>
      </c>
      <c r="AM5" s="121">
        <f t="shared" si="16"/>
        <v>137881.5</v>
      </c>
      <c r="AN5" s="121">
        <f t="shared" si="17"/>
        <v>131391.25</v>
      </c>
      <c r="AO5" s="122">
        <f t="shared" si="18"/>
        <v>119610</v>
      </c>
    </row>
    <row r="6" spans="1:41" s="749" customFormat="1" ht="12.75">
      <c r="A6" s="762" t="s">
        <v>15</v>
      </c>
      <c r="B6" s="1779">
        <f t="shared" si="0"/>
        <v>-0.12149794677019243</v>
      </c>
      <c r="C6" s="703">
        <v>62682</v>
      </c>
      <c r="D6" s="703">
        <v>71351</v>
      </c>
      <c r="E6" s="703">
        <v>75007</v>
      </c>
      <c r="F6" s="703">
        <v>78397</v>
      </c>
      <c r="G6" s="703">
        <v>68309</v>
      </c>
      <c r="H6" s="703">
        <v>61757.75</v>
      </c>
      <c r="I6" s="704">
        <v>55409</v>
      </c>
      <c r="J6" s="119">
        <f t="shared" si="1"/>
        <v>-0.08115683327070024</v>
      </c>
      <c r="K6" s="705">
        <v>58681</v>
      </c>
      <c r="L6" s="705">
        <v>63864</v>
      </c>
      <c r="M6" s="705">
        <v>59630.75</v>
      </c>
      <c r="N6" s="705">
        <v>60231.25</v>
      </c>
      <c r="O6" s="705">
        <v>58007</v>
      </c>
      <c r="P6" s="705">
        <v>61791.5</v>
      </c>
      <c r="Q6" s="1182">
        <v>60112</v>
      </c>
      <c r="R6" s="220">
        <f t="shared" si="2"/>
        <v>-0.10244425544503198</v>
      </c>
      <c r="S6" s="180">
        <f t="shared" si="3"/>
        <v>121363</v>
      </c>
      <c r="T6" s="180">
        <f t="shared" si="4"/>
        <v>135215</v>
      </c>
      <c r="U6" s="180">
        <f t="shared" si="5"/>
        <v>134637.75</v>
      </c>
      <c r="V6" s="180">
        <f t="shared" si="6"/>
        <v>138628.25</v>
      </c>
      <c r="W6" s="180">
        <f t="shared" si="7"/>
        <v>126316</v>
      </c>
      <c r="X6" s="180">
        <f t="shared" si="8"/>
        <v>123549.25</v>
      </c>
      <c r="Y6" s="181">
        <f t="shared" si="9"/>
        <v>115521</v>
      </c>
      <c r="Z6" s="132">
        <f t="shared" si="10"/>
        <v>-0.36985491110260604</v>
      </c>
      <c r="AA6" s="1012">
        <v>18111</v>
      </c>
      <c r="AB6" s="1012">
        <v>28741</v>
      </c>
      <c r="AC6" s="1012">
        <v>26169.25</v>
      </c>
      <c r="AD6" s="1012">
        <v>27606.75</v>
      </c>
      <c r="AE6" s="222">
        <v>29290</v>
      </c>
      <c r="AF6" s="222">
        <v>33098.75</v>
      </c>
      <c r="AG6" s="233">
        <v>25124</v>
      </c>
      <c r="AH6" s="120">
        <f t="shared" si="11"/>
        <v>-0.1493205494156969</v>
      </c>
      <c r="AI6" s="121">
        <f t="shared" si="12"/>
        <v>139474</v>
      </c>
      <c r="AJ6" s="121">
        <f t="shared" si="13"/>
        <v>163956</v>
      </c>
      <c r="AK6" s="121">
        <f t="shared" si="14"/>
        <v>160807</v>
      </c>
      <c r="AL6" s="121">
        <f t="shared" si="15"/>
        <v>166235</v>
      </c>
      <c r="AM6" s="121">
        <f t="shared" si="16"/>
        <v>155606</v>
      </c>
      <c r="AN6" s="121">
        <f t="shared" si="17"/>
        <v>156648</v>
      </c>
      <c r="AO6" s="122">
        <f t="shared" si="18"/>
        <v>140645</v>
      </c>
    </row>
    <row r="7" spans="1:41" s="749" customFormat="1" ht="12.75">
      <c r="A7" s="762" t="s">
        <v>16</v>
      </c>
      <c r="B7" s="1779">
        <f t="shared" si="0"/>
        <v>-0.11796126733229582</v>
      </c>
      <c r="C7" s="743">
        <v>59652.5</v>
      </c>
      <c r="D7" s="743">
        <v>67630.25</v>
      </c>
      <c r="E7" s="703">
        <v>80394.5</v>
      </c>
      <c r="F7" s="703">
        <v>80140</v>
      </c>
      <c r="G7" s="703">
        <v>68137.5</v>
      </c>
      <c r="H7" s="703">
        <v>62274.5</v>
      </c>
      <c r="I7" s="704">
        <v>53407.25</v>
      </c>
      <c r="J7" s="1417">
        <f t="shared" si="1"/>
        <v>0.06177896819144653</v>
      </c>
      <c r="K7" s="933">
        <v>60652</v>
      </c>
      <c r="L7" s="933">
        <v>57123</v>
      </c>
      <c r="M7" s="705">
        <v>55615</v>
      </c>
      <c r="N7" s="705">
        <v>59697</v>
      </c>
      <c r="O7" s="705">
        <v>50843.75</v>
      </c>
      <c r="P7" s="705">
        <v>50456.5</v>
      </c>
      <c r="Q7" s="1182">
        <v>48917.75</v>
      </c>
      <c r="R7" s="220">
        <f t="shared" si="2"/>
        <v>-0.03566039361699996</v>
      </c>
      <c r="S7" s="180">
        <f t="shared" si="3"/>
        <v>120304.5</v>
      </c>
      <c r="T7" s="180">
        <f t="shared" si="4"/>
        <v>124753.25</v>
      </c>
      <c r="U7" s="180">
        <f t="shared" si="5"/>
        <v>136009.5</v>
      </c>
      <c r="V7" s="180">
        <f t="shared" si="6"/>
        <v>139837</v>
      </c>
      <c r="W7" s="180">
        <f t="shared" si="7"/>
        <v>118981.25</v>
      </c>
      <c r="X7" s="180">
        <f t="shared" si="8"/>
        <v>112731</v>
      </c>
      <c r="Y7" s="181">
        <f t="shared" si="9"/>
        <v>102325</v>
      </c>
      <c r="Z7" s="132">
        <f t="shared" si="10"/>
        <v>-0.3867737414162428</v>
      </c>
      <c r="AA7" s="682">
        <v>17391.25</v>
      </c>
      <c r="AB7" s="682">
        <v>28360.25</v>
      </c>
      <c r="AC7" s="1012">
        <v>30146.75</v>
      </c>
      <c r="AD7" s="1012">
        <v>32551</v>
      </c>
      <c r="AE7" s="222">
        <v>35276.75</v>
      </c>
      <c r="AF7" s="222">
        <v>28924.5</v>
      </c>
      <c r="AG7" s="233">
        <v>23107.75</v>
      </c>
      <c r="AH7" s="120">
        <f t="shared" si="11"/>
        <v>-0.10069490933196616</v>
      </c>
      <c r="AI7" s="121">
        <f t="shared" si="12"/>
        <v>137695.75</v>
      </c>
      <c r="AJ7" s="121">
        <f t="shared" si="13"/>
        <v>153113.5</v>
      </c>
      <c r="AK7" s="121">
        <f t="shared" si="14"/>
        <v>166156.25</v>
      </c>
      <c r="AL7" s="121">
        <f t="shared" si="15"/>
        <v>172388</v>
      </c>
      <c r="AM7" s="121">
        <f t="shared" si="16"/>
        <v>154258</v>
      </c>
      <c r="AN7" s="121">
        <f t="shared" si="17"/>
        <v>141655.5</v>
      </c>
      <c r="AO7" s="122">
        <f t="shared" si="18"/>
        <v>125432.75</v>
      </c>
    </row>
    <row r="8" spans="1:41" s="749" customFormat="1" ht="12.75">
      <c r="A8" s="762" t="s">
        <v>17</v>
      </c>
      <c r="B8" s="1779">
        <f t="shared" si="0"/>
        <v>0.041950709977381255</v>
      </c>
      <c r="C8" s="743">
        <v>66334.75</v>
      </c>
      <c r="D8" s="703">
        <v>63664</v>
      </c>
      <c r="E8" s="703">
        <v>76101.25</v>
      </c>
      <c r="F8" s="703">
        <v>81707.75</v>
      </c>
      <c r="G8" s="703">
        <v>72149</v>
      </c>
      <c r="H8" s="703">
        <v>61108.5</v>
      </c>
      <c r="I8" s="704">
        <v>59426</v>
      </c>
      <c r="J8" s="1417">
        <f t="shared" si="1"/>
        <v>0.15757672125934172</v>
      </c>
      <c r="K8" s="933">
        <v>65520</v>
      </c>
      <c r="L8" s="705">
        <v>56601</v>
      </c>
      <c r="M8" s="705">
        <v>59053.5</v>
      </c>
      <c r="N8" s="705">
        <v>61782.75</v>
      </c>
      <c r="O8" s="705">
        <v>56500.25</v>
      </c>
      <c r="P8" s="705">
        <v>49278.75</v>
      </c>
      <c r="Q8" s="1182">
        <v>51902.5</v>
      </c>
      <c r="R8" s="220">
        <f t="shared" si="2"/>
        <v>0.09636843636968362</v>
      </c>
      <c r="S8" s="180">
        <f t="shared" si="3"/>
        <v>131854.75</v>
      </c>
      <c r="T8" s="180">
        <f t="shared" si="4"/>
        <v>120265</v>
      </c>
      <c r="U8" s="180">
        <f t="shared" si="5"/>
        <v>135154.75</v>
      </c>
      <c r="V8" s="180">
        <f t="shared" si="6"/>
        <v>143490.5</v>
      </c>
      <c r="W8" s="180">
        <f t="shared" si="7"/>
        <v>128649.25</v>
      </c>
      <c r="X8" s="180">
        <f t="shared" si="8"/>
        <v>110387.25</v>
      </c>
      <c r="Y8" s="181">
        <f t="shared" si="9"/>
        <v>111328.5</v>
      </c>
      <c r="Z8" s="132">
        <f t="shared" si="10"/>
        <v>-0.045606053572257554</v>
      </c>
      <c r="AA8" s="682">
        <v>25698.25</v>
      </c>
      <c r="AB8" s="682">
        <v>26926.25</v>
      </c>
      <c r="AC8" s="1012">
        <v>34675.75</v>
      </c>
      <c r="AD8" s="1012">
        <v>38723.5</v>
      </c>
      <c r="AE8" s="222">
        <v>33877.75</v>
      </c>
      <c r="AF8" s="222">
        <v>28712.25</v>
      </c>
      <c r="AG8" s="233">
        <v>26227.75</v>
      </c>
      <c r="AH8" s="120">
        <f t="shared" si="11"/>
        <v>0.07039650794459588</v>
      </c>
      <c r="AI8" s="121">
        <f t="shared" si="12"/>
        <v>157553</v>
      </c>
      <c r="AJ8" s="121">
        <f t="shared" si="13"/>
        <v>147191.25</v>
      </c>
      <c r="AK8" s="121">
        <f t="shared" si="14"/>
        <v>169830.5</v>
      </c>
      <c r="AL8" s="121">
        <f t="shared" si="15"/>
        <v>182214</v>
      </c>
      <c r="AM8" s="121">
        <f t="shared" si="16"/>
        <v>162527</v>
      </c>
      <c r="AN8" s="121">
        <f t="shared" si="17"/>
        <v>139099.5</v>
      </c>
      <c r="AO8" s="122">
        <f t="shared" si="18"/>
        <v>137556.25</v>
      </c>
    </row>
    <row r="9" spans="1:41" s="749" customFormat="1" ht="12.75">
      <c r="A9" s="762" t="s">
        <v>18</v>
      </c>
      <c r="B9" s="1779">
        <f t="shared" si="0"/>
        <v>-0.17323576293290827</v>
      </c>
      <c r="C9" s="1685">
        <v>57055</v>
      </c>
      <c r="D9" s="743">
        <v>69010</v>
      </c>
      <c r="E9" s="743">
        <v>78504</v>
      </c>
      <c r="F9" s="703">
        <v>70035.75</v>
      </c>
      <c r="G9" s="703">
        <v>64929.25</v>
      </c>
      <c r="H9" s="703">
        <v>62376</v>
      </c>
      <c r="I9" s="704">
        <v>59002</v>
      </c>
      <c r="J9" s="1417">
        <f t="shared" si="1"/>
        <v>0.02955019162240301</v>
      </c>
      <c r="K9" s="1686">
        <v>61250</v>
      </c>
      <c r="L9" s="933">
        <v>59492</v>
      </c>
      <c r="M9" s="933">
        <v>57676</v>
      </c>
      <c r="N9" s="705">
        <v>55604.75</v>
      </c>
      <c r="O9" s="705">
        <v>48684.75</v>
      </c>
      <c r="P9" s="705">
        <v>49998.5</v>
      </c>
      <c r="Q9" s="1182">
        <v>51236</v>
      </c>
      <c r="R9" s="220">
        <f t="shared" si="2"/>
        <v>-0.07935285053929121</v>
      </c>
      <c r="S9" s="180">
        <f t="shared" si="3"/>
        <v>118305</v>
      </c>
      <c r="T9" s="180">
        <f t="shared" si="4"/>
        <v>128502</v>
      </c>
      <c r="U9" s="180">
        <f t="shared" si="5"/>
        <v>136180</v>
      </c>
      <c r="V9" s="180">
        <f t="shared" si="6"/>
        <v>125640.5</v>
      </c>
      <c r="W9" s="180">
        <f t="shared" si="7"/>
        <v>113614</v>
      </c>
      <c r="X9" s="180">
        <f t="shared" si="8"/>
        <v>112374.5</v>
      </c>
      <c r="Y9" s="181">
        <f t="shared" si="9"/>
        <v>110238</v>
      </c>
      <c r="Z9" s="132">
        <f t="shared" si="10"/>
        <v>-0.14886221212595957</v>
      </c>
      <c r="AA9" s="255">
        <v>21731.25</v>
      </c>
      <c r="AB9" s="682">
        <v>25532</v>
      </c>
      <c r="AC9" s="682">
        <v>38580</v>
      </c>
      <c r="AD9" s="1012">
        <v>34143.5</v>
      </c>
      <c r="AE9" s="222">
        <v>27584.75</v>
      </c>
      <c r="AF9" s="222">
        <v>41444</v>
      </c>
      <c r="AG9" s="233">
        <v>30530</v>
      </c>
      <c r="AH9" s="120">
        <f t="shared" si="11"/>
        <v>-0.09087441733643221</v>
      </c>
      <c r="AI9" s="121">
        <f t="shared" si="12"/>
        <v>140036.25</v>
      </c>
      <c r="AJ9" s="121">
        <f t="shared" si="13"/>
        <v>154034</v>
      </c>
      <c r="AK9" s="121">
        <f t="shared" si="14"/>
        <v>174760</v>
      </c>
      <c r="AL9" s="121">
        <f t="shared" si="15"/>
        <v>159784</v>
      </c>
      <c r="AM9" s="121">
        <f t="shared" si="16"/>
        <v>141198.75</v>
      </c>
      <c r="AN9" s="121">
        <f t="shared" si="17"/>
        <v>153818.5</v>
      </c>
      <c r="AO9" s="122">
        <f t="shared" si="18"/>
        <v>140768</v>
      </c>
    </row>
    <row r="10" spans="1:41" s="749" customFormat="1" ht="12.75">
      <c r="A10" s="762" t="s">
        <v>19</v>
      </c>
      <c r="B10" s="1779">
        <f t="shared" si="0"/>
        <v>-0.043680519108736104</v>
      </c>
      <c r="C10" s="743">
        <v>60130.5</v>
      </c>
      <c r="D10" s="743">
        <v>62877</v>
      </c>
      <c r="E10" s="743">
        <v>78548.75</v>
      </c>
      <c r="F10" s="703">
        <v>79870</v>
      </c>
      <c r="G10" s="703">
        <v>78833.25</v>
      </c>
      <c r="H10" s="703">
        <v>65936.5</v>
      </c>
      <c r="I10" s="704">
        <v>60967.75</v>
      </c>
      <c r="J10" s="1417">
        <f t="shared" si="1"/>
        <v>0.1484743566381178</v>
      </c>
      <c r="K10" s="933">
        <v>56722</v>
      </c>
      <c r="L10" s="933">
        <v>49389</v>
      </c>
      <c r="M10" s="933">
        <v>51962</v>
      </c>
      <c r="N10" s="705">
        <v>56910.75</v>
      </c>
      <c r="O10" s="705">
        <v>51136.5</v>
      </c>
      <c r="P10" s="705">
        <v>42581.25</v>
      </c>
      <c r="Q10" s="1182">
        <v>39609</v>
      </c>
      <c r="R10" s="220">
        <f>SUM(S10-T10)/T10</f>
        <v>0.040853864927939</v>
      </c>
      <c r="S10" s="180">
        <f>+C10+K10</f>
        <v>116852.5</v>
      </c>
      <c r="T10" s="180">
        <f t="shared" si="4"/>
        <v>112266</v>
      </c>
      <c r="U10" s="180">
        <f t="shared" si="5"/>
        <v>130510.75</v>
      </c>
      <c r="V10" s="180">
        <f t="shared" si="6"/>
        <v>136780.75</v>
      </c>
      <c r="W10" s="180">
        <f t="shared" si="7"/>
        <v>129969.75</v>
      </c>
      <c r="X10" s="180">
        <f t="shared" si="8"/>
        <v>108517.75</v>
      </c>
      <c r="Y10" s="181">
        <f t="shared" si="9"/>
        <v>100576.75</v>
      </c>
      <c r="Z10" s="132">
        <f t="shared" si="10"/>
        <v>-0.16261478690840594</v>
      </c>
      <c r="AA10" s="682">
        <v>21338.25</v>
      </c>
      <c r="AB10" s="682">
        <v>25482</v>
      </c>
      <c r="AC10" s="682">
        <v>35526.5</v>
      </c>
      <c r="AD10" s="1012">
        <v>39579.75</v>
      </c>
      <c r="AE10" s="222">
        <v>31745</v>
      </c>
      <c r="AF10" s="222">
        <v>30288.75</v>
      </c>
      <c r="AG10" s="233">
        <v>28396</v>
      </c>
      <c r="AH10" s="120">
        <f>SUM(AI10-AJ10)/AJ10</f>
        <v>0.003214202747045329</v>
      </c>
      <c r="AI10" s="121">
        <f>+S10+AA10</f>
        <v>138190.75</v>
      </c>
      <c r="AJ10" s="121">
        <f t="shared" si="13"/>
        <v>137748</v>
      </c>
      <c r="AK10" s="121">
        <f t="shared" si="14"/>
        <v>166037.25</v>
      </c>
      <c r="AL10" s="121">
        <f t="shared" si="15"/>
        <v>176360.5</v>
      </c>
      <c r="AM10" s="121">
        <f t="shared" si="16"/>
        <v>161714.75</v>
      </c>
      <c r="AN10" s="121">
        <f t="shared" si="17"/>
        <v>138806.5</v>
      </c>
      <c r="AO10" s="122">
        <f t="shared" si="18"/>
        <v>128972.75</v>
      </c>
    </row>
    <row r="11" spans="1:41" s="749" customFormat="1" ht="12.75">
      <c r="A11" s="762" t="s">
        <v>20</v>
      </c>
      <c r="B11" s="1779"/>
      <c r="C11" s="743"/>
      <c r="D11" s="743">
        <v>67641</v>
      </c>
      <c r="E11" s="743">
        <v>74756</v>
      </c>
      <c r="F11" s="703">
        <v>77987.75</v>
      </c>
      <c r="G11" s="703">
        <v>75337.25</v>
      </c>
      <c r="H11" s="703">
        <v>67680.25</v>
      </c>
      <c r="I11" s="704">
        <v>63076.25</v>
      </c>
      <c r="J11" s="119"/>
      <c r="K11" s="933"/>
      <c r="L11" s="933">
        <v>56556</v>
      </c>
      <c r="M11" s="933">
        <v>55301</v>
      </c>
      <c r="N11" s="705">
        <v>54919.5</v>
      </c>
      <c r="O11" s="705">
        <v>54930.75</v>
      </c>
      <c r="P11" s="705">
        <v>49657.25</v>
      </c>
      <c r="Q11" s="1182">
        <v>51370</v>
      </c>
      <c r="R11" s="220"/>
      <c r="S11" s="180"/>
      <c r="T11" s="180">
        <f t="shared" si="4"/>
        <v>124197</v>
      </c>
      <c r="U11" s="180">
        <f t="shared" si="5"/>
        <v>130057</v>
      </c>
      <c r="V11" s="180">
        <f t="shared" si="6"/>
        <v>132907.25</v>
      </c>
      <c r="W11" s="180">
        <f t="shared" si="7"/>
        <v>130268</v>
      </c>
      <c r="X11" s="180">
        <f t="shared" si="8"/>
        <v>117337.5</v>
      </c>
      <c r="Y11" s="181">
        <f t="shared" si="9"/>
        <v>114446.25</v>
      </c>
      <c r="Z11" s="132"/>
      <c r="AA11" s="682"/>
      <c r="AB11" s="682">
        <v>27036</v>
      </c>
      <c r="AC11" s="682">
        <v>37484</v>
      </c>
      <c r="AD11" s="1012">
        <v>33488.25</v>
      </c>
      <c r="AE11" s="222">
        <v>34740.25</v>
      </c>
      <c r="AF11" s="222">
        <v>33432.5</v>
      </c>
      <c r="AG11" s="233">
        <v>34691.5</v>
      </c>
      <c r="AH11" s="120"/>
      <c r="AI11" s="121"/>
      <c r="AJ11" s="121">
        <f t="shared" si="13"/>
        <v>151233</v>
      </c>
      <c r="AK11" s="121">
        <f t="shared" si="14"/>
        <v>167541</v>
      </c>
      <c r="AL11" s="121">
        <f t="shared" si="15"/>
        <v>166395.5</v>
      </c>
      <c r="AM11" s="121">
        <f t="shared" si="16"/>
        <v>165008.25</v>
      </c>
      <c r="AN11" s="121">
        <f t="shared" si="17"/>
        <v>150770</v>
      </c>
      <c r="AO11" s="122">
        <f t="shared" si="18"/>
        <v>149137.75</v>
      </c>
    </row>
    <row r="12" spans="1:41" s="749" customFormat="1" ht="12.75">
      <c r="A12" s="762" t="s">
        <v>21</v>
      </c>
      <c r="B12" s="1779"/>
      <c r="C12" s="743"/>
      <c r="D12" s="743">
        <v>64723</v>
      </c>
      <c r="E12" s="743">
        <v>77593.25</v>
      </c>
      <c r="F12" s="703">
        <v>69599.25</v>
      </c>
      <c r="G12" s="703">
        <v>69584</v>
      </c>
      <c r="H12" s="703">
        <v>59801.5</v>
      </c>
      <c r="I12" s="704">
        <v>56972</v>
      </c>
      <c r="J12" s="119"/>
      <c r="K12" s="933"/>
      <c r="L12" s="933">
        <v>55804</v>
      </c>
      <c r="M12" s="933">
        <v>53415</v>
      </c>
      <c r="N12" s="705">
        <v>52050.25</v>
      </c>
      <c r="O12" s="705">
        <v>50065</v>
      </c>
      <c r="P12" s="705">
        <v>42725.75</v>
      </c>
      <c r="Q12" s="1182">
        <v>43029</v>
      </c>
      <c r="R12" s="220"/>
      <c r="S12" s="180"/>
      <c r="T12" s="180">
        <f t="shared" si="4"/>
        <v>120527</v>
      </c>
      <c r="U12" s="180">
        <f t="shared" si="5"/>
        <v>131008.25</v>
      </c>
      <c r="V12" s="180">
        <f t="shared" si="6"/>
        <v>121649.5</v>
      </c>
      <c r="W12" s="180">
        <f t="shared" si="7"/>
        <v>119649</v>
      </c>
      <c r="X12" s="180">
        <f t="shared" si="8"/>
        <v>102527.25</v>
      </c>
      <c r="Y12" s="181">
        <f t="shared" si="9"/>
        <v>100001</v>
      </c>
      <c r="Z12" s="132"/>
      <c r="AA12" s="682"/>
      <c r="AB12" s="682">
        <v>25018</v>
      </c>
      <c r="AC12" s="682">
        <v>32164.5</v>
      </c>
      <c r="AD12" s="1012">
        <v>34140.5</v>
      </c>
      <c r="AE12" s="222">
        <v>31683.25</v>
      </c>
      <c r="AF12" s="222">
        <v>30353.25</v>
      </c>
      <c r="AG12" s="233">
        <v>31063.75</v>
      </c>
      <c r="AH12" s="120"/>
      <c r="AI12" s="121"/>
      <c r="AJ12" s="121">
        <f t="shared" si="13"/>
        <v>145545</v>
      </c>
      <c r="AK12" s="121">
        <f t="shared" si="14"/>
        <v>163172.75</v>
      </c>
      <c r="AL12" s="121">
        <f t="shared" si="15"/>
        <v>155790</v>
      </c>
      <c r="AM12" s="121">
        <f t="shared" si="16"/>
        <v>151332.25</v>
      </c>
      <c r="AN12" s="121">
        <f t="shared" si="17"/>
        <v>132880.5</v>
      </c>
      <c r="AO12" s="122">
        <f t="shared" si="18"/>
        <v>131064.75</v>
      </c>
    </row>
    <row r="13" spans="1:41" s="749" customFormat="1" ht="12.75">
      <c r="A13" s="762" t="s">
        <v>22</v>
      </c>
      <c r="B13" s="1779"/>
      <c r="C13" s="743"/>
      <c r="D13" s="743">
        <v>61404</v>
      </c>
      <c r="E13" s="743">
        <v>75817.5</v>
      </c>
      <c r="F13" s="703">
        <v>76535.5</v>
      </c>
      <c r="G13" s="703">
        <v>78512.5</v>
      </c>
      <c r="H13" s="703">
        <v>67917.5</v>
      </c>
      <c r="I13" s="704">
        <v>59045</v>
      </c>
      <c r="J13" s="119"/>
      <c r="K13" s="933"/>
      <c r="L13" s="933">
        <v>54775</v>
      </c>
      <c r="M13" s="933">
        <v>56343</v>
      </c>
      <c r="N13" s="705">
        <v>55837.5</v>
      </c>
      <c r="O13" s="705">
        <v>57292.75</v>
      </c>
      <c r="P13" s="705">
        <v>49622.25</v>
      </c>
      <c r="Q13" s="1182">
        <v>46658.75</v>
      </c>
      <c r="R13" s="220"/>
      <c r="S13" s="180"/>
      <c r="T13" s="180">
        <f t="shared" si="4"/>
        <v>116179</v>
      </c>
      <c r="U13" s="180">
        <f t="shared" si="5"/>
        <v>132160.5</v>
      </c>
      <c r="V13" s="180">
        <f t="shared" si="6"/>
        <v>132373</v>
      </c>
      <c r="W13" s="180">
        <f t="shared" si="7"/>
        <v>135805.25</v>
      </c>
      <c r="X13" s="180">
        <f t="shared" si="8"/>
        <v>117539.75</v>
      </c>
      <c r="Y13" s="181">
        <f t="shared" si="9"/>
        <v>105703.75</v>
      </c>
      <c r="Z13" s="132"/>
      <c r="AA13" s="682"/>
      <c r="AB13" s="682">
        <v>22953.5</v>
      </c>
      <c r="AC13" s="682">
        <v>38417</v>
      </c>
      <c r="AD13" s="1012">
        <v>36661.25</v>
      </c>
      <c r="AE13" s="222">
        <v>39596.25</v>
      </c>
      <c r="AF13" s="222">
        <v>30650.75</v>
      </c>
      <c r="AG13" s="233">
        <v>31045.5</v>
      </c>
      <c r="AH13" s="120"/>
      <c r="AI13" s="121"/>
      <c r="AJ13" s="121">
        <f t="shared" si="13"/>
        <v>139132.5</v>
      </c>
      <c r="AK13" s="121">
        <f t="shared" si="14"/>
        <v>170577.5</v>
      </c>
      <c r="AL13" s="121">
        <f t="shared" si="15"/>
        <v>169034.25</v>
      </c>
      <c r="AM13" s="121">
        <f t="shared" si="16"/>
        <v>175401.5</v>
      </c>
      <c r="AN13" s="121">
        <f t="shared" si="17"/>
        <v>148190.5</v>
      </c>
      <c r="AO13" s="122">
        <f t="shared" si="18"/>
        <v>136749.25</v>
      </c>
    </row>
    <row r="14" spans="1:41" s="749" customFormat="1" ht="12.75">
      <c r="A14" s="762" t="s">
        <v>23</v>
      </c>
      <c r="B14" s="1779"/>
      <c r="C14" s="720"/>
      <c r="D14" s="720">
        <v>59831</v>
      </c>
      <c r="E14" s="720">
        <v>64688.75</v>
      </c>
      <c r="F14" s="703">
        <v>75256.5</v>
      </c>
      <c r="G14" s="703">
        <v>69611.75</v>
      </c>
      <c r="H14" s="703">
        <v>60746</v>
      </c>
      <c r="I14" s="704">
        <v>59310.75</v>
      </c>
      <c r="J14" s="119"/>
      <c r="K14" s="1013"/>
      <c r="L14" s="1013">
        <v>58674</v>
      </c>
      <c r="M14" s="1013">
        <v>53480</v>
      </c>
      <c r="N14" s="705">
        <v>53250.25</v>
      </c>
      <c r="O14" s="705">
        <v>54261.25</v>
      </c>
      <c r="P14" s="705">
        <v>47499.75</v>
      </c>
      <c r="Q14" s="1182">
        <v>48520</v>
      </c>
      <c r="R14" s="220"/>
      <c r="S14" s="180"/>
      <c r="T14" s="180">
        <f t="shared" si="4"/>
        <v>118505</v>
      </c>
      <c r="U14" s="180">
        <f t="shared" si="5"/>
        <v>118168.75</v>
      </c>
      <c r="V14" s="180">
        <f t="shared" si="6"/>
        <v>128506.75</v>
      </c>
      <c r="W14" s="180">
        <f t="shared" si="7"/>
        <v>123873</v>
      </c>
      <c r="X14" s="180">
        <f t="shared" si="8"/>
        <v>108245.75</v>
      </c>
      <c r="Y14" s="181">
        <f t="shared" si="9"/>
        <v>107830.75</v>
      </c>
      <c r="Z14" s="132"/>
      <c r="AA14" s="1014"/>
      <c r="AB14" s="1014">
        <v>23069</v>
      </c>
      <c r="AC14" s="1014">
        <v>33599.5</v>
      </c>
      <c r="AD14" s="1012">
        <v>34614.25</v>
      </c>
      <c r="AE14" s="222">
        <v>31386.5</v>
      </c>
      <c r="AF14" s="222">
        <v>34492.5</v>
      </c>
      <c r="AG14" s="233">
        <v>30050</v>
      </c>
      <c r="AH14" s="120"/>
      <c r="AI14" s="121"/>
      <c r="AJ14" s="121">
        <f t="shared" si="13"/>
        <v>141574</v>
      </c>
      <c r="AK14" s="121">
        <f t="shared" si="14"/>
        <v>151768.25</v>
      </c>
      <c r="AL14" s="121">
        <f t="shared" si="15"/>
        <v>163121</v>
      </c>
      <c r="AM14" s="121">
        <f t="shared" si="16"/>
        <v>155259.5</v>
      </c>
      <c r="AN14" s="121">
        <f t="shared" si="17"/>
        <v>142738.25</v>
      </c>
      <c r="AO14" s="122">
        <f t="shared" si="18"/>
        <v>137880.75</v>
      </c>
    </row>
    <row r="15" spans="1:41" s="749" customFormat="1" ht="13.5" thickBot="1">
      <c r="A15" s="1205" t="s">
        <v>24</v>
      </c>
      <c r="B15" s="1780"/>
      <c r="C15" s="1687"/>
      <c r="D15" s="1687">
        <v>59525</v>
      </c>
      <c r="E15" s="1687">
        <v>69555.5</v>
      </c>
      <c r="F15" s="1688">
        <v>71670</v>
      </c>
      <c r="G15" s="1688">
        <v>73223</v>
      </c>
      <c r="H15" s="1688">
        <v>58692.25</v>
      </c>
      <c r="I15" s="1689">
        <v>61217.25</v>
      </c>
      <c r="J15" s="495"/>
      <c r="K15" s="1180"/>
      <c r="L15" s="1180">
        <v>56843</v>
      </c>
      <c r="M15" s="1180">
        <v>58562</v>
      </c>
      <c r="N15" s="710">
        <v>53906.5</v>
      </c>
      <c r="O15" s="710">
        <v>56781.5</v>
      </c>
      <c r="P15" s="710">
        <v>45235</v>
      </c>
      <c r="Q15" s="1183">
        <v>49524.5</v>
      </c>
      <c r="R15" s="397"/>
      <c r="S15" s="398"/>
      <c r="T15" s="398">
        <f t="shared" si="4"/>
        <v>116368</v>
      </c>
      <c r="U15" s="398">
        <f t="shared" si="5"/>
        <v>128117.5</v>
      </c>
      <c r="V15" s="398">
        <f t="shared" si="6"/>
        <v>125576.5</v>
      </c>
      <c r="W15" s="398">
        <f t="shared" si="7"/>
        <v>130004.5</v>
      </c>
      <c r="X15" s="398">
        <f t="shared" si="8"/>
        <v>103927.25</v>
      </c>
      <c r="Y15" s="723">
        <f t="shared" si="9"/>
        <v>110741.75</v>
      </c>
      <c r="Z15" s="516"/>
      <c r="AA15" s="1184"/>
      <c r="AB15" s="1184">
        <v>18361</v>
      </c>
      <c r="AC15" s="1184">
        <v>32039.75</v>
      </c>
      <c r="AD15" s="1185">
        <v>33288.5</v>
      </c>
      <c r="AE15" s="133">
        <v>36833.5</v>
      </c>
      <c r="AF15" s="133">
        <v>18910.75</v>
      </c>
      <c r="AG15" s="1109">
        <v>32551.75</v>
      </c>
      <c r="AH15" s="521"/>
      <c r="AI15" s="124"/>
      <c r="AJ15" s="124">
        <f t="shared" si="13"/>
        <v>134729</v>
      </c>
      <c r="AK15" s="124">
        <f t="shared" si="14"/>
        <v>160157.25</v>
      </c>
      <c r="AL15" s="124">
        <f t="shared" si="15"/>
        <v>158865</v>
      </c>
      <c r="AM15" s="124">
        <f t="shared" si="16"/>
        <v>166838</v>
      </c>
      <c r="AN15" s="124">
        <f t="shared" si="17"/>
        <v>122838</v>
      </c>
      <c r="AO15" s="125">
        <f t="shared" si="18"/>
        <v>143293.5</v>
      </c>
    </row>
    <row r="16" spans="1:41" s="789" customFormat="1" ht="12.75">
      <c r="A16" s="1781" t="s">
        <v>25</v>
      </c>
      <c r="B16" s="1019">
        <f>SUM(C16-D16)/D16</f>
        <v>-0.08121932511985874</v>
      </c>
      <c r="C16" s="746">
        <f>SUM(C4:C10)</f>
        <v>420454.25</v>
      </c>
      <c r="D16" s="746">
        <f aca="true" t="shared" si="19" ref="D16:I16">SUM(D4:D10)</f>
        <v>457622</v>
      </c>
      <c r="E16" s="746">
        <f t="shared" si="19"/>
        <v>533839</v>
      </c>
      <c r="F16" s="746">
        <f t="shared" si="19"/>
        <v>529825.75</v>
      </c>
      <c r="G16" s="746">
        <f t="shared" si="19"/>
        <v>473829.5</v>
      </c>
      <c r="H16" s="746">
        <f t="shared" si="19"/>
        <v>428778</v>
      </c>
      <c r="I16" s="746">
        <f t="shared" si="19"/>
        <v>380707.75</v>
      </c>
      <c r="J16" s="588">
        <f>SUM(K16-L16)/L16</f>
        <v>0.06089573375818729</v>
      </c>
      <c r="K16" s="746">
        <f>SUM(K4:K10)</f>
        <v>419510</v>
      </c>
      <c r="L16" s="746">
        <f aca="true" t="shared" si="20" ref="L16:Q16">SUM(L4:L10)</f>
        <v>395430</v>
      </c>
      <c r="M16" s="746">
        <f t="shared" si="20"/>
        <v>390820.25</v>
      </c>
      <c r="N16" s="746">
        <f t="shared" si="20"/>
        <v>408827.5</v>
      </c>
      <c r="O16" s="746">
        <f t="shared" si="20"/>
        <v>369635.5</v>
      </c>
      <c r="P16" s="746">
        <f t="shared" si="20"/>
        <v>352189.5</v>
      </c>
      <c r="Q16" s="746">
        <f t="shared" si="20"/>
        <v>340283</v>
      </c>
      <c r="R16" s="588">
        <f>SUM(S16-T16)/T16</f>
        <v>-0.01534226518430295</v>
      </c>
      <c r="S16" s="332">
        <f aca="true" t="shared" si="21" ref="S16:Y16">+C16+K16</f>
        <v>839964.25</v>
      </c>
      <c r="T16" s="332">
        <f t="shared" si="21"/>
        <v>853052</v>
      </c>
      <c r="U16" s="332">
        <f t="shared" si="21"/>
        <v>924659.25</v>
      </c>
      <c r="V16" s="332">
        <f t="shared" si="21"/>
        <v>938653.25</v>
      </c>
      <c r="W16" s="332">
        <f t="shared" si="21"/>
        <v>843465</v>
      </c>
      <c r="X16" s="332">
        <f t="shared" si="21"/>
        <v>780967.5</v>
      </c>
      <c r="Y16" s="332">
        <f t="shared" si="21"/>
        <v>720990.75</v>
      </c>
      <c r="Z16" s="588">
        <f>SUM(AA16-AB16)/AB16</f>
        <v>-0.24504534278084764</v>
      </c>
      <c r="AA16" s="746">
        <f>SUM(AA4:AA10)</f>
        <v>142773.25</v>
      </c>
      <c r="AB16" s="746">
        <f aca="true" t="shared" si="22" ref="AB16:AG16">SUM(AB4:AB10)</f>
        <v>189115</v>
      </c>
      <c r="AC16" s="746">
        <f t="shared" si="22"/>
        <v>230618.25</v>
      </c>
      <c r="AD16" s="746">
        <f t="shared" si="22"/>
        <v>233027.75</v>
      </c>
      <c r="AE16" s="746">
        <f t="shared" si="22"/>
        <v>206611.75</v>
      </c>
      <c r="AF16" s="746">
        <f t="shared" si="22"/>
        <v>212461.5</v>
      </c>
      <c r="AG16" s="746">
        <f t="shared" si="22"/>
        <v>173717.75</v>
      </c>
      <c r="AH16" s="588">
        <f>SUM(AI16-AJ16)/AJ16</f>
        <v>-0.05702492978572532</v>
      </c>
      <c r="AI16" s="332">
        <f aca="true" t="shared" si="23" ref="AI16:AO16">+S16+AA16</f>
        <v>982737.5</v>
      </c>
      <c r="AJ16" s="332">
        <f t="shared" si="23"/>
        <v>1042167</v>
      </c>
      <c r="AK16" s="332">
        <f t="shared" si="23"/>
        <v>1155277.5</v>
      </c>
      <c r="AL16" s="332">
        <f t="shared" si="23"/>
        <v>1171681</v>
      </c>
      <c r="AM16" s="332">
        <f t="shared" si="23"/>
        <v>1050076.75</v>
      </c>
      <c r="AN16" s="332">
        <f t="shared" si="23"/>
        <v>993429</v>
      </c>
      <c r="AO16" s="589">
        <f t="shared" si="23"/>
        <v>894708.5</v>
      </c>
    </row>
    <row r="17" spans="1:41" s="789" customFormat="1" ht="13.5" thickBot="1">
      <c r="A17" s="1326" t="s">
        <v>28</v>
      </c>
      <c r="B17" s="879">
        <f>SUM(C17-D17)/D17</f>
        <v>-0.06897094263741999</v>
      </c>
      <c r="C17" s="295">
        <f>AVERAGE(C4:C8)</f>
        <v>60653.75</v>
      </c>
      <c r="D17" s="295">
        <f>AVERAGE(D4:D8)</f>
        <v>65147</v>
      </c>
      <c r="E17" s="102">
        <f>AVERAGE(E4:E15)</f>
        <v>74687.5</v>
      </c>
      <c r="F17" s="102">
        <f>AVERAGE(F4:F15)</f>
        <v>75072.89583333333</v>
      </c>
      <c r="G17" s="102">
        <f>AVERAGE(G4:G15)</f>
        <v>70008.16666666667</v>
      </c>
      <c r="H17" s="102">
        <f>AVERAGE(H4:H15)</f>
        <v>61967.958333333336</v>
      </c>
      <c r="I17" s="312">
        <f>AVERAGE(I4:I15)</f>
        <v>56694.083333333336</v>
      </c>
      <c r="J17" s="313">
        <f>SUM(K17-L17)/L17</f>
        <v>0.05230868019082243</v>
      </c>
      <c r="K17" s="357">
        <f>AVERAGE(K4:K8)</f>
        <v>60307.6</v>
      </c>
      <c r="L17" s="357">
        <f>AVERAGE(L4:L8)</f>
        <v>57309.8</v>
      </c>
      <c r="M17" s="102">
        <f>AVERAGE(M4:M15)</f>
        <v>55660.104166666664</v>
      </c>
      <c r="N17" s="102">
        <f>AVERAGE(N4:N15)</f>
        <v>56565.958333333336</v>
      </c>
      <c r="O17" s="102">
        <f>AVERAGE(O4:O15)</f>
        <v>53580.5625</v>
      </c>
      <c r="P17" s="102">
        <f>AVERAGE(P4:P15)</f>
        <v>48910.791666666664</v>
      </c>
      <c r="Q17" s="312">
        <f>AVERAGE(Q4:Q15)</f>
        <v>48282.104166666664</v>
      </c>
      <c r="R17" s="313">
        <f>SUM(S17-T17)/T17</f>
        <v>-0.038752568498371</v>
      </c>
      <c r="S17" s="357">
        <f>AVERAGE(S4:S7)</f>
        <v>118238</v>
      </c>
      <c r="T17" s="357">
        <f>AVERAGE(T4:T7)</f>
        <v>123004.75</v>
      </c>
      <c r="U17" s="102">
        <f>AVERAGE(U4:U15)</f>
        <v>130347.60416666667</v>
      </c>
      <c r="V17" s="102">
        <f>AVERAGE(V4:V15)</f>
        <v>131638.85416666666</v>
      </c>
      <c r="W17" s="102">
        <f>AVERAGE(W4:W15)</f>
        <v>123588.72916666667</v>
      </c>
      <c r="X17" s="102">
        <f>AVERAGE(X4:X15)</f>
        <v>110878.75</v>
      </c>
      <c r="Y17" s="312">
        <f>AVERAGE(Y4:Y15)</f>
        <v>104976.1875</v>
      </c>
      <c r="Z17" s="313">
        <f>SUM(AA17-AB17)/AB17</f>
        <v>-0.2578819675737779</v>
      </c>
      <c r="AA17" s="357">
        <f>AVERAGE(AA4:AA9)</f>
        <v>20239.166666666668</v>
      </c>
      <c r="AB17" s="357">
        <f>AVERAGE(AB4:AB9)</f>
        <v>27272.166666666668</v>
      </c>
      <c r="AC17" s="102">
        <f>AVERAGE(AC4:AC15)</f>
        <v>33693.583333333336</v>
      </c>
      <c r="AD17" s="102">
        <f>AVERAGE(AD4:AD15)</f>
        <v>33768.375</v>
      </c>
      <c r="AE17" s="102">
        <f>AVERAGE(AE4:AE15)</f>
        <v>31737.625</v>
      </c>
      <c r="AF17" s="102">
        <f>AVERAGE(AF4:AF15)</f>
        <v>30025.104166666668</v>
      </c>
      <c r="AG17" s="312">
        <f>AVERAGE(AG4:AG15)</f>
        <v>27760.020833333332</v>
      </c>
      <c r="AH17" s="313">
        <f>SUM(AI17-AJ17)/AJ17</f>
        <v>-0.06619968178465961</v>
      </c>
      <c r="AI17" s="357">
        <f>AVERAGE(AI4:AI9)</f>
        <v>140757.79166666666</v>
      </c>
      <c r="AJ17" s="357">
        <f>AVERAGE(AJ4:AJ9)</f>
        <v>150736.5</v>
      </c>
      <c r="AK17" s="102">
        <f>AVERAGE(AK4:AK15)</f>
        <v>164041.1875</v>
      </c>
      <c r="AL17" s="102">
        <f>AVERAGE(AL4:AL15)</f>
        <v>165407.22916666666</v>
      </c>
      <c r="AM17" s="102">
        <f>AVERAGE(AM4:AM15)</f>
        <v>155326.35416666666</v>
      </c>
      <c r="AN17" s="102">
        <f>AVERAGE(AN4:AN15)</f>
        <v>140903.85416666666</v>
      </c>
      <c r="AO17" s="312">
        <f>AVERAGE(AO4:AO15)</f>
        <v>132736.20833333334</v>
      </c>
    </row>
  </sheetData>
  <mergeCells count="7">
    <mergeCell ref="A1:A2"/>
    <mergeCell ref="B1:AG1"/>
    <mergeCell ref="AH1:AO1"/>
    <mergeCell ref="B3:I3"/>
    <mergeCell ref="J3:Q3"/>
    <mergeCell ref="R3:Y3"/>
    <mergeCell ref="Z3:AG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0"/>
  <sheetViews>
    <sheetView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0" sqref="W10:X10"/>
    </sheetView>
  </sheetViews>
  <sheetFormatPr defaultColWidth="9.140625" defaultRowHeight="12.75"/>
  <cols>
    <col min="1" max="1" width="16.00390625" style="0" customWidth="1"/>
    <col min="2" max="2" width="5.8515625" style="0" customWidth="1"/>
    <col min="3" max="6" width="6.57421875" style="0" customWidth="1"/>
    <col min="7" max="7" width="5.28125" style="0" customWidth="1"/>
    <col min="8" max="11" width="6.57421875" style="0" customWidth="1"/>
    <col min="12" max="12" width="6.140625" style="0" customWidth="1"/>
    <col min="13" max="16" width="4.421875" style="0" customWidth="1"/>
    <col min="17" max="17" width="5.28125" style="0" customWidth="1"/>
    <col min="18" max="21" width="5.7109375" style="0" customWidth="1"/>
    <col min="22" max="22" width="5.8515625" style="0" customWidth="1"/>
    <col min="23" max="25" width="6.57421875" style="0" customWidth="1"/>
    <col min="26" max="26" width="5.7109375" style="0" customWidth="1"/>
    <col min="27" max="27" width="5.28125" style="0" customWidth="1"/>
    <col min="28" max="30" width="6.57421875" style="0" customWidth="1"/>
    <col min="31" max="31" width="5.7109375" style="0" customWidth="1"/>
    <col min="32" max="32" width="5.28125" style="0" customWidth="1"/>
    <col min="33" max="36" width="7.421875" style="0" customWidth="1"/>
  </cols>
  <sheetData>
    <row r="1" spans="1:36" s="749" customFormat="1" ht="13.5" thickBot="1">
      <c r="A1" s="1901" t="s">
        <v>157</v>
      </c>
      <c r="B1" s="1903"/>
      <c r="C1" s="1904"/>
      <c r="D1" s="1904"/>
      <c r="E1" s="1905"/>
      <c r="F1" s="244"/>
      <c r="G1" s="271"/>
      <c r="H1" s="271"/>
      <c r="I1" s="271"/>
      <c r="J1" s="271"/>
      <c r="K1" s="271"/>
      <c r="L1" s="271"/>
      <c r="M1" s="301"/>
      <c r="N1" s="301"/>
      <c r="O1" s="301"/>
      <c r="P1" s="301"/>
      <c r="Q1" s="244"/>
      <c r="R1" s="386"/>
      <c r="S1" s="386"/>
      <c r="T1" s="386"/>
      <c r="U1" s="386"/>
      <c r="V1" s="271"/>
      <c r="W1" s="301"/>
      <c r="X1" s="301"/>
      <c r="Y1" s="301"/>
      <c r="Z1" s="301"/>
      <c r="AA1" s="271"/>
      <c r="AB1" s="271"/>
      <c r="AC1" s="1906"/>
      <c r="AD1" s="1907"/>
      <c r="AE1" s="1907"/>
      <c r="AF1" s="1907"/>
      <c r="AG1" s="1907"/>
      <c r="AH1" s="1907"/>
      <c r="AI1" s="1907"/>
      <c r="AJ1" s="1908"/>
    </row>
    <row r="2" spans="1:36" s="749" customFormat="1" ht="34.5" thickBot="1">
      <c r="A2" s="1902"/>
      <c r="B2" s="554" t="s">
        <v>179</v>
      </c>
      <c r="C2" s="466">
        <v>2008</v>
      </c>
      <c r="D2" s="466">
        <v>2007</v>
      </c>
      <c r="E2" s="466">
        <v>2006</v>
      </c>
      <c r="F2" s="466">
        <v>2005</v>
      </c>
      <c r="G2" s="496" t="s">
        <v>179</v>
      </c>
      <c r="H2" s="112">
        <v>2008</v>
      </c>
      <c r="I2" s="112">
        <v>2007</v>
      </c>
      <c r="J2" s="112">
        <v>2006</v>
      </c>
      <c r="K2" s="112">
        <v>2005</v>
      </c>
      <c r="L2" s="1074" t="s">
        <v>179</v>
      </c>
      <c r="M2" s="619">
        <v>2008</v>
      </c>
      <c r="N2" s="619">
        <v>2007</v>
      </c>
      <c r="O2" s="619">
        <v>2006</v>
      </c>
      <c r="P2" s="619">
        <v>2005</v>
      </c>
      <c r="Q2" s="911" t="s">
        <v>179</v>
      </c>
      <c r="R2" s="1049">
        <v>2008</v>
      </c>
      <c r="S2" s="1049">
        <v>2007</v>
      </c>
      <c r="T2" s="1049">
        <v>2006</v>
      </c>
      <c r="U2" s="1049">
        <v>2005</v>
      </c>
      <c r="V2" s="460" t="s">
        <v>179</v>
      </c>
      <c r="W2" s="130">
        <v>2008</v>
      </c>
      <c r="X2" s="130">
        <v>2007</v>
      </c>
      <c r="Y2" s="130">
        <v>2006</v>
      </c>
      <c r="Z2" s="130">
        <v>2005</v>
      </c>
      <c r="AA2" s="501" t="s">
        <v>179</v>
      </c>
      <c r="AB2" s="114">
        <v>2008</v>
      </c>
      <c r="AC2" s="114">
        <v>2007</v>
      </c>
      <c r="AD2" s="114">
        <v>2006</v>
      </c>
      <c r="AE2" s="114">
        <v>2005</v>
      </c>
      <c r="AF2" s="568" t="s">
        <v>179</v>
      </c>
      <c r="AG2" s="569">
        <v>2008</v>
      </c>
      <c r="AH2" s="569">
        <v>2007</v>
      </c>
      <c r="AI2" s="569">
        <v>2006</v>
      </c>
      <c r="AJ2" s="570">
        <v>2005</v>
      </c>
    </row>
    <row r="3" spans="1:36" s="749" customFormat="1" ht="13.5" thickBot="1">
      <c r="A3" s="309"/>
      <c r="B3" s="1894" t="s">
        <v>100</v>
      </c>
      <c r="C3" s="1895"/>
      <c r="D3" s="1895"/>
      <c r="E3" s="1895"/>
      <c r="F3" s="1895"/>
      <c r="G3" s="1896" t="s">
        <v>69</v>
      </c>
      <c r="H3" s="1896"/>
      <c r="I3" s="1896"/>
      <c r="J3" s="1896"/>
      <c r="K3" s="1896"/>
      <c r="L3" s="1890" t="s">
        <v>88</v>
      </c>
      <c r="M3" s="1896"/>
      <c r="N3" s="1896"/>
      <c r="O3" s="1896"/>
      <c r="P3" s="1896"/>
      <c r="Q3" s="1891" t="s">
        <v>71</v>
      </c>
      <c r="R3" s="1892"/>
      <c r="S3" s="1892"/>
      <c r="T3" s="1892"/>
      <c r="U3" s="1892"/>
      <c r="V3" s="1890" t="s">
        <v>49</v>
      </c>
      <c r="W3" s="1896"/>
      <c r="X3" s="1896"/>
      <c r="Y3" s="1896"/>
      <c r="Z3" s="1896"/>
      <c r="AA3" s="1890" t="s">
        <v>116</v>
      </c>
      <c r="AB3" s="1896"/>
      <c r="AC3" s="1896"/>
      <c r="AD3" s="1896"/>
      <c r="AE3" s="1896"/>
      <c r="AF3" s="1893" t="s">
        <v>143</v>
      </c>
      <c r="AG3" s="1884"/>
      <c r="AH3" s="1885"/>
      <c r="AI3" s="1885"/>
      <c r="AJ3" s="1886"/>
    </row>
    <row r="4" spans="1:36" s="749" customFormat="1" ht="12.75">
      <c r="A4" s="750" t="s">
        <v>13</v>
      </c>
      <c r="B4" s="751">
        <f aca="true" t="shared" si="0" ref="B4:B10">SUM(C4-D4)/D4</f>
        <v>-0.3608405945668888</v>
      </c>
      <c r="C4" s="752">
        <v>2494</v>
      </c>
      <c r="D4" s="752">
        <v>3902</v>
      </c>
      <c r="E4" s="752">
        <v>3107</v>
      </c>
      <c r="F4" s="753">
        <v>1514</v>
      </c>
      <c r="G4" s="754">
        <f aca="true" t="shared" si="1" ref="G4:G10">SUM(H4-I4)/I4</f>
        <v>0.5677344654573524</v>
      </c>
      <c r="H4" s="755">
        <v>4062</v>
      </c>
      <c r="I4" s="755">
        <v>2591</v>
      </c>
      <c r="J4" s="755">
        <v>2608</v>
      </c>
      <c r="K4" s="755">
        <v>1185</v>
      </c>
      <c r="L4" s="1067" t="e">
        <f aca="true" t="shared" si="2" ref="L4:L10">SUM(M4-N4)/N4</f>
        <v>#DIV/0!</v>
      </c>
      <c r="M4" s="1068">
        <v>0</v>
      </c>
      <c r="N4" s="620">
        <v>0</v>
      </c>
      <c r="O4" s="620">
        <v>0</v>
      </c>
      <c r="P4" s="620">
        <v>0</v>
      </c>
      <c r="Q4" s="886">
        <f aca="true" t="shared" si="3" ref="Q4:Q9">SUM(R4-S4)/S4</f>
        <v>0.009702756815031572</v>
      </c>
      <c r="R4" s="731">
        <f aca="true" t="shared" si="4" ref="R4:S16">+C4+H4+M4</f>
        <v>6556</v>
      </c>
      <c r="S4" s="731">
        <f t="shared" si="4"/>
        <v>6493</v>
      </c>
      <c r="T4" s="731">
        <f aca="true" t="shared" si="5" ref="T4:T15">+E4+J4+O4</f>
        <v>5715</v>
      </c>
      <c r="U4" s="731">
        <f aca="true" t="shared" si="6" ref="U4:U15">+F4+K4+P4</f>
        <v>2699</v>
      </c>
      <c r="V4" s="758">
        <f aca="true" t="shared" si="7" ref="V4:V10">SUM(W4-X4)/X4</f>
        <v>0.5111386138613861</v>
      </c>
      <c r="W4" s="550">
        <v>2442</v>
      </c>
      <c r="X4" s="550">
        <v>1616</v>
      </c>
      <c r="Y4" s="550">
        <v>1552</v>
      </c>
      <c r="Z4" s="550">
        <v>669</v>
      </c>
      <c r="AA4" s="759">
        <f aca="true" t="shared" si="8" ref="AA4:AA9">SUM(AB4-AC4)/AC4</f>
        <v>0.10963127389320508</v>
      </c>
      <c r="AB4" s="197">
        <f>+R4+W4</f>
        <v>8998</v>
      </c>
      <c r="AC4" s="197">
        <f>+S4+X4</f>
        <v>8109</v>
      </c>
      <c r="AD4" s="197">
        <f>+T4+Y4</f>
        <v>7267</v>
      </c>
      <c r="AE4" s="197">
        <f>+U4+Z4</f>
        <v>3368</v>
      </c>
      <c r="AF4" s="1075">
        <f aca="true" t="shared" si="9" ref="AF4:AF10">SUM(AG4-AH4)/AH4</f>
        <v>0.10583947148606576</v>
      </c>
      <c r="AG4" s="760">
        <v>72814</v>
      </c>
      <c r="AH4" s="760">
        <v>65845</v>
      </c>
      <c r="AI4" s="760">
        <v>53011</v>
      </c>
      <c r="AJ4" s="761">
        <v>30045</v>
      </c>
    </row>
    <row r="5" spans="1:36" s="749" customFormat="1" ht="12.75">
      <c r="A5" s="762" t="s">
        <v>14</v>
      </c>
      <c r="B5" s="763">
        <f t="shared" si="0"/>
        <v>0.14831858407079646</v>
      </c>
      <c r="C5" s="352">
        <v>3244</v>
      </c>
      <c r="D5" s="352">
        <v>2825</v>
      </c>
      <c r="E5" s="352">
        <v>2965</v>
      </c>
      <c r="F5" s="737">
        <v>1829</v>
      </c>
      <c r="G5" s="764">
        <f t="shared" si="1"/>
        <v>0.4872374798061389</v>
      </c>
      <c r="H5" s="353">
        <v>4603</v>
      </c>
      <c r="I5" s="353">
        <v>3095</v>
      </c>
      <c r="J5" s="353">
        <v>2552</v>
      </c>
      <c r="K5" s="353">
        <v>1905</v>
      </c>
      <c r="L5" s="1265" t="e">
        <f t="shared" si="2"/>
        <v>#DIV/0!</v>
      </c>
      <c r="M5" s="1070">
        <v>0</v>
      </c>
      <c r="N5" s="621">
        <v>0</v>
      </c>
      <c r="O5" s="621">
        <v>0</v>
      </c>
      <c r="P5" s="621">
        <v>0</v>
      </c>
      <c r="Q5" s="889">
        <f t="shared" si="3"/>
        <v>0.3255067567567568</v>
      </c>
      <c r="R5" s="740">
        <f t="shared" si="4"/>
        <v>7847</v>
      </c>
      <c r="S5" s="740">
        <f t="shared" si="4"/>
        <v>5920</v>
      </c>
      <c r="T5" s="740">
        <f t="shared" si="5"/>
        <v>5517</v>
      </c>
      <c r="U5" s="740">
        <f t="shared" si="6"/>
        <v>3734</v>
      </c>
      <c r="V5" s="767">
        <f t="shared" si="7"/>
        <v>0.14127423822714683</v>
      </c>
      <c r="W5" s="329">
        <v>1648</v>
      </c>
      <c r="X5" s="329">
        <v>1444</v>
      </c>
      <c r="Y5" s="329">
        <v>1538</v>
      </c>
      <c r="Z5" s="329">
        <v>660</v>
      </c>
      <c r="AA5" s="768">
        <f t="shared" si="8"/>
        <v>0.28938077131993484</v>
      </c>
      <c r="AB5" s="121">
        <f aca="true" t="shared" si="10" ref="AB5:AC16">+R5+W5</f>
        <v>9495</v>
      </c>
      <c r="AC5" s="121">
        <f t="shared" si="10"/>
        <v>7364</v>
      </c>
      <c r="AD5" s="121">
        <f aca="true" t="shared" si="11" ref="AD5:AD16">+T5+Y5</f>
        <v>7055</v>
      </c>
      <c r="AE5" s="121">
        <f aca="true" t="shared" si="12" ref="AE5:AE16">+U5+Z5</f>
        <v>4394</v>
      </c>
      <c r="AF5" s="1076">
        <f t="shared" si="9"/>
        <v>0.42330425946312134</v>
      </c>
      <c r="AG5" s="481">
        <v>84039</v>
      </c>
      <c r="AH5" s="481">
        <v>59045</v>
      </c>
      <c r="AI5" s="481">
        <v>43782</v>
      </c>
      <c r="AJ5" s="769">
        <v>36458</v>
      </c>
    </row>
    <row r="6" spans="1:36" s="749" customFormat="1" ht="12.75">
      <c r="A6" s="762" t="s">
        <v>15</v>
      </c>
      <c r="B6" s="763">
        <f t="shared" si="0"/>
        <v>-0.1256508156889969</v>
      </c>
      <c r="C6" s="352">
        <v>2519</v>
      </c>
      <c r="D6" s="352">
        <v>2881</v>
      </c>
      <c r="E6" s="352">
        <v>5025</v>
      </c>
      <c r="F6" s="737">
        <v>1499</v>
      </c>
      <c r="G6" s="764">
        <f t="shared" si="1"/>
        <v>0.5491138480024031</v>
      </c>
      <c r="H6" s="353">
        <v>5157</v>
      </c>
      <c r="I6" s="353">
        <v>3329</v>
      </c>
      <c r="J6" s="353">
        <v>3924</v>
      </c>
      <c r="K6" s="353">
        <v>1486</v>
      </c>
      <c r="L6" s="1265" t="e">
        <f t="shared" si="2"/>
        <v>#DIV/0!</v>
      </c>
      <c r="M6" s="1070">
        <v>0</v>
      </c>
      <c r="N6" s="621">
        <v>0</v>
      </c>
      <c r="O6" s="621">
        <v>0</v>
      </c>
      <c r="P6" s="621">
        <v>0</v>
      </c>
      <c r="Q6" s="889">
        <f t="shared" si="3"/>
        <v>0.2360708534621578</v>
      </c>
      <c r="R6" s="740">
        <f>+C6+H6+M6</f>
        <v>7676</v>
      </c>
      <c r="S6" s="740">
        <f>+D6+I6+N6</f>
        <v>6210</v>
      </c>
      <c r="T6" s="740">
        <f t="shared" si="5"/>
        <v>8949</v>
      </c>
      <c r="U6" s="740">
        <f t="shared" si="6"/>
        <v>2985</v>
      </c>
      <c r="V6" s="767">
        <f t="shared" si="7"/>
        <v>0.17003231017770598</v>
      </c>
      <c r="W6" s="329">
        <v>2897</v>
      </c>
      <c r="X6" s="329">
        <v>2476</v>
      </c>
      <c r="Y6" s="329">
        <v>2355</v>
      </c>
      <c r="Z6" s="329">
        <v>537</v>
      </c>
      <c r="AA6" s="768">
        <f t="shared" si="8"/>
        <v>0.21724614321897306</v>
      </c>
      <c r="AB6" s="121">
        <f>+R6+W6</f>
        <v>10573</v>
      </c>
      <c r="AC6" s="121">
        <f>+S6+X6</f>
        <v>8686</v>
      </c>
      <c r="AD6" s="121">
        <f t="shared" si="11"/>
        <v>11304</v>
      </c>
      <c r="AE6" s="121">
        <f t="shared" si="12"/>
        <v>3522</v>
      </c>
      <c r="AF6" s="1076">
        <f t="shared" si="9"/>
        <v>0.2822107450644826</v>
      </c>
      <c r="AG6" s="481">
        <v>83913</v>
      </c>
      <c r="AH6" s="481">
        <v>65444</v>
      </c>
      <c r="AI6" s="481">
        <v>76024</v>
      </c>
      <c r="AJ6" s="769">
        <v>29991</v>
      </c>
    </row>
    <row r="7" spans="1:36" s="749" customFormat="1" ht="12.75">
      <c r="A7" s="762" t="s">
        <v>16</v>
      </c>
      <c r="B7" s="763">
        <f t="shared" si="0"/>
        <v>-0.2904924125116135</v>
      </c>
      <c r="C7" s="352">
        <v>2291</v>
      </c>
      <c r="D7" s="352">
        <v>3229</v>
      </c>
      <c r="E7" s="352">
        <v>4633</v>
      </c>
      <c r="F7" s="737">
        <v>1872</v>
      </c>
      <c r="G7" s="764">
        <f t="shared" si="1"/>
        <v>0.18471337579617833</v>
      </c>
      <c r="H7" s="353">
        <v>4278</v>
      </c>
      <c r="I7" s="353">
        <v>3611</v>
      </c>
      <c r="J7" s="353">
        <v>3444</v>
      </c>
      <c r="K7" s="353">
        <v>1552</v>
      </c>
      <c r="L7" s="1265" t="e">
        <f t="shared" si="2"/>
        <v>#DIV/0!</v>
      </c>
      <c r="M7" s="1070">
        <v>0</v>
      </c>
      <c r="N7" s="621">
        <v>0</v>
      </c>
      <c r="O7" s="621">
        <v>0</v>
      </c>
      <c r="P7" s="621">
        <v>0</v>
      </c>
      <c r="Q7" s="889">
        <f t="shared" si="3"/>
        <v>-0.03961988304093567</v>
      </c>
      <c r="R7" s="740">
        <f>+C7+H7+M7</f>
        <v>6569</v>
      </c>
      <c r="S7" s="740">
        <f t="shared" si="4"/>
        <v>6840</v>
      </c>
      <c r="T7" s="740">
        <f t="shared" si="5"/>
        <v>8077</v>
      </c>
      <c r="U7" s="740">
        <f t="shared" si="6"/>
        <v>3424</v>
      </c>
      <c r="V7" s="767">
        <f t="shared" si="7"/>
        <v>-0.17256778309409887</v>
      </c>
      <c r="W7" s="329">
        <v>2594</v>
      </c>
      <c r="X7" s="329">
        <v>3135</v>
      </c>
      <c r="Y7" s="329">
        <v>3331</v>
      </c>
      <c r="Z7" s="329">
        <v>739</v>
      </c>
      <c r="AA7" s="768">
        <f t="shared" si="8"/>
        <v>-0.08140350877192983</v>
      </c>
      <c r="AB7" s="121">
        <f>+R7+W7</f>
        <v>9163</v>
      </c>
      <c r="AC7" s="121">
        <f t="shared" si="10"/>
        <v>9975</v>
      </c>
      <c r="AD7" s="121">
        <f t="shared" si="11"/>
        <v>11408</v>
      </c>
      <c r="AE7" s="121">
        <f t="shared" si="12"/>
        <v>4163</v>
      </c>
      <c r="AF7" s="1076">
        <f t="shared" si="9"/>
        <v>0.06340684410646388</v>
      </c>
      <c r="AG7" s="481">
        <v>69919</v>
      </c>
      <c r="AH7" s="481">
        <v>65750</v>
      </c>
      <c r="AI7" s="481">
        <v>61884</v>
      </c>
      <c r="AJ7" s="769">
        <v>29674</v>
      </c>
    </row>
    <row r="8" spans="1:36" s="749" customFormat="1" ht="12.75">
      <c r="A8" s="762" t="s">
        <v>17</v>
      </c>
      <c r="B8" s="763">
        <f t="shared" si="0"/>
        <v>-0.06895368782161235</v>
      </c>
      <c r="C8" s="352">
        <v>2714</v>
      </c>
      <c r="D8" s="352">
        <v>2915</v>
      </c>
      <c r="E8" s="352">
        <v>4155</v>
      </c>
      <c r="F8" s="737">
        <v>2465</v>
      </c>
      <c r="G8" s="764">
        <f t="shared" si="1"/>
        <v>0.6317047265002655</v>
      </c>
      <c r="H8" s="353">
        <v>6145</v>
      </c>
      <c r="I8" s="353">
        <v>3766</v>
      </c>
      <c r="J8" s="353">
        <v>4000</v>
      </c>
      <c r="K8" s="353">
        <v>1589</v>
      </c>
      <c r="L8" s="1265" t="e">
        <f t="shared" si="2"/>
        <v>#DIV/0!</v>
      </c>
      <c r="M8" s="1070">
        <v>0</v>
      </c>
      <c r="N8" s="621">
        <v>0</v>
      </c>
      <c r="O8" s="621">
        <v>0</v>
      </c>
      <c r="P8" s="621">
        <v>0</v>
      </c>
      <c r="Q8" s="889">
        <f t="shared" si="3"/>
        <v>0.3259991019308487</v>
      </c>
      <c r="R8" s="740">
        <f>+C8+H8+M8</f>
        <v>8859</v>
      </c>
      <c r="S8" s="740">
        <f t="shared" si="4"/>
        <v>6681</v>
      </c>
      <c r="T8" s="740">
        <f t="shared" si="5"/>
        <v>8155</v>
      </c>
      <c r="U8" s="740">
        <f t="shared" si="6"/>
        <v>4054</v>
      </c>
      <c r="V8" s="767">
        <f t="shared" si="7"/>
        <v>0.25657472738935216</v>
      </c>
      <c r="W8" s="329">
        <v>3918</v>
      </c>
      <c r="X8" s="329">
        <v>3118</v>
      </c>
      <c r="Y8" s="329">
        <v>4152</v>
      </c>
      <c r="Z8" s="329">
        <v>1681</v>
      </c>
      <c r="AA8" s="768">
        <f t="shared" si="8"/>
        <v>0.3039085620981733</v>
      </c>
      <c r="AB8" s="121">
        <f>+R8+W8</f>
        <v>12777</v>
      </c>
      <c r="AC8" s="121">
        <f t="shared" si="10"/>
        <v>9799</v>
      </c>
      <c r="AD8" s="121">
        <f t="shared" si="11"/>
        <v>12307</v>
      </c>
      <c r="AE8" s="121">
        <f t="shared" si="12"/>
        <v>5735</v>
      </c>
      <c r="AF8" s="1076">
        <f t="shared" si="9"/>
        <v>0.46031981267691213</v>
      </c>
      <c r="AG8" s="481">
        <v>98538</v>
      </c>
      <c r="AH8" s="481">
        <v>67477</v>
      </c>
      <c r="AI8" s="481">
        <v>59960</v>
      </c>
      <c r="AJ8" s="769">
        <v>41864</v>
      </c>
    </row>
    <row r="9" spans="1:36" s="749" customFormat="1" ht="12.75">
      <c r="A9" s="762" t="s">
        <v>18</v>
      </c>
      <c r="B9" s="763">
        <f t="shared" si="0"/>
        <v>0.023231622746185853</v>
      </c>
      <c r="C9" s="737">
        <v>2951</v>
      </c>
      <c r="D9" s="737">
        <v>2884</v>
      </c>
      <c r="E9" s="737">
        <v>3737</v>
      </c>
      <c r="F9" s="737">
        <v>3252</v>
      </c>
      <c r="G9" s="764">
        <f t="shared" si="1"/>
        <v>0.24768807798050488</v>
      </c>
      <c r="H9" s="541">
        <v>4992</v>
      </c>
      <c r="I9" s="541">
        <v>4001</v>
      </c>
      <c r="J9" s="541">
        <v>2545</v>
      </c>
      <c r="K9" s="541">
        <v>2100</v>
      </c>
      <c r="L9" s="1265" t="e">
        <f t="shared" si="2"/>
        <v>#DIV/0!</v>
      </c>
      <c r="M9" s="1071">
        <v>0</v>
      </c>
      <c r="N9" s="621">
        <v>0</v>
      </c>
      <c r="O9" s="621">
        <v>0</v>
      </c>
      <c r="P9" s="621">
        <v>0</v>
      </c>
      <c r="Q9" s="889">
        <f t="shared" si="3"/>
        <v>0.15366739288307915</v>
      </c>
      <c r="R9" s="741">
        <f>+C9+H9+M9</f>
        <v>7943</v>
      </c>
      <c r="S9" s="740">
        <f t="shared" si="4"/>
        <v>6885</v>
      </c>
      <c r="T9" s="740">
        <f t="shared" si="5"/>
        <v>6282</v>
      </c>
      <c r="U9" s="740">
        <f t="shared" si="6"/>
        <v>5352</v>
      </c>
      <c r="V9" s="767">
        <f t="shared" si="7"/>
        <v>-0.18287461773700306</v>
      </c>
      <c r="W9" s="542">
        <v>2672</v>
      </c>
      <c r="X9" s="328">
        <v>3270</v>
      </c>
      <c r="Y9" s="328">
        <v>2937</v>
      </c>
      <c r="Z9" s="328">
        <v>1242</v>
      </c>
      <c r="AA9" s="768">
        <f t="shared" si="8"/>
        <v>0.04529788281634663</v>
      </c>
      <c r="AB9" s="121">
        <f>+R9+W9</f>
        <v>10615</v>
      </c>
      <c r="AC9" s="121">
        <f t="shared" si="10"/>
        <v>10155</v>
      </c>
      <c r="AD9" s="121">
        <f t="shared" si="11"/>
        <v>9219</v>
      </c>
      <c r="AE9" s="121">
        <f t="shared" si="12"/>
        <v>6594</v>
      </c>
      <c r="AF9" s="1076">
        <f t="shared" si="9"/>
        <v>0.38273267694594093</v>
      </c>
      <c r="AG9" s="770">
        <v>89319</v>
      </c>
      <c r="AH9" s="770">
        <v>64596</v>
      </c>
      <c r="AI9" s="770">
        <v>50493</v>
      </c>
      <c r="AJ9" s="769">
        <v>44969</v>
      </c>
    </row>
    <row r="10" spans="1:36" s="749" customFormat="1" ht="12.75">
      <c r="A10" s="762" t="s">
        <v>19</v>
      </c>
      <c r="B10" s="763">
        <f t="shared" si="0"/>
        <v>-0.12018348623853212</v>
      </c>
      <c r="C10" s="737">
        <v>2877</v>
      </c>
      <c r="D10" s="737">
        <v>3270</v>
      </c>
      <c r="E10" s="737">
        <v>4217</v>
      </c>
      <c r="F10" s="737">
        <v>3014</v>
      </c>
      <c r="G10" s="764">
        <f t="shared" si="1"/>
        <v>0.3617245005257624</v>
      </c>
      <c r="H10" s="541">
        <v>5180</v>
      </c>
      <c r="I10" s="541">
        <v>3804</v>
      </c>
      <c r="J10" s="541">
        <v>2383</v>
      </c>
      <c r="K10" s="541">
        <v>2177</v>
      </c>
      <c r="L10" s="1265" t="e">
        <f t="shared" si="2"/>
        <v>#DIV/0!</v>
      </c>
      <c r="M10" s="1071">
        <v>0</v>
      </c>
      <c r="N10" s="621">
        <v>0</v>
      </c>
      <c r="O10" s="621">
        <v>0</v>
      </c>
      <c r="P10" s="621">
        <v>0</v>
      </c>
      <c r="Q10" s="889">
        <f>SUM(R10-S10)/S10</f>
        <v>0.13895957025728017</v>
      </c>
      <c r="R10" s="741">
        <f>+C10+H10+M10</f>
        <v>8057</v>
      </c>
      <c r="S10" s="740">
        <f t="shared" si="4"/>
        <v>7074</v>
      </c>
      <c r="T10" s="740">
        <f t="shared" si="5"/>
        <v>6600</v>
      </c>
      <c r="U10" s="740">
        <f t="shared" si="6"/>
        <v>5191</v>
      </c>
      <c r="V10" s="767">
        <f t="shared" si="7"/>
        <v>-0.07263197304380382</v>
      </c>
      <c r="W10" s="542">
        <v>2477</v>
      </c>
      <c r="X10" s="328">
        <v>2671</v>
      </c>
      <c r="Y10" s="328">
        <v>3267</v>
      </c>
      <c r="Z10" s="328">
        <v>1980</v>
      </c>
      <c r="AA10" s="768">
        <f>SUM(AB10-AC10)/AC10</f>
        <v>0.08096459722934839</v>
      </c>
      <c r="AB10" s="121">
        <f>+R10+W10</f>
        <v>10534</v>
      </c>
      <c r="AC10" s="121">
        <f t="shared" si="10"/>
        <v>9745</v>
      </c>
      <c r="AD10" s="121">
        <f t="shared" si="11"/>
        <v>9867</v>
      </c>
      <c r="AE10" s="121">
        <f t="shared" si="12"/>
        <v>7171</v>
      </c>
      <c r="AF10" s="1076">
        <f t="shared" si="9"/>
        <v>0.3122164418365495</v>
      </c>
      <c r="AG10" s="770">
        <v>86769</v>
      </c>
      <c r="AH10" s="770">
        <v>66124</v>
      </c>
      <c r="AI10" s="770">
        <v>53181</v>
      </c>
      <c r="AJ10" s="769">
        <v>40176</v>
      </c>
    </row>
    <row r="11" spans="1:36" s="749" customFormat="1" ht="12.75">
      <c r="A11" s="762" t="s">
        <v>20</v>
      </c>
      <c r="B11" s="763"/>
      <c r="C11" s="737"/>
      <c r="D11" s="737">
        <v>2858</v>
      </c>
      <c r="E11" s="737">
        <v>4129</v>
      </c>
      <c r="F11" s="737">
        <v>2614</v>
      </c>
      <c r="G11" s="764"/>
      <c r="H11" s="541"/>
      <c r="I11" s="541">
        <v>3094</v>
      </c>
      <c r="J11" s="541">
        <v>2591</v>
      </c>
      <c r="K11" s="541">
        <v>2205</v>
      </c>
      <c r="L11" s="1069"/>
      <c r="M11" s="1071"/>
      <c r="N11" s="621">
        <v>0</v>
      </c>
      <c r="O11" s="621">
        <v>0</v>
      </c>
      <c r="P11" s="621">
        <v>0</v>
      </c>
      <c r="Q11" s="889"/>
      <c r="R11" s="741"/>
      <c r="S11" s="740">
        <f t="shared" si="4"/>
        <v>5952</v>
      </c>
      <c r="T11" s="740">
        <f t="shared" si="5"/>
        <v>6720</v>
      </c>
      <c r="U11" s="740">
        <f t="shared" si="6"/>
        <v>4819</v>
      </c>
      <c r="V11" s="767"/>
      <c r="W11" s="542"/>
      <c r="X11" s="328">
        <v>3125</v>
      </c>
      <c r="Y11" s="328">
        <v>4144</v>
      </c>
      <c r="Z11" s="328">
        <v>2139</v>
      </c>
      <c r="AA11" s="768"/>
      <c r="AB11" s="121"/>
      <c r="AC11" s="121">
        <f t="shared" si="10"/>
        <v>9077</v>
      </c>
      <c r="AD11" s="121">
        <f t="shared" si="11"/>
        <v>10864</v>
      </c>
      <c r="AE11" s="121">
        <f t="shared" si="12"/>
        <v>6958</v>
      </c>
      <c r="AF11" s="1076"/>
      <c r="AG11" s="770"/>
      <c r="AH11" s="770">
        <v>57701</v>
      </c>
      <c r="AI11" s="770">
        <v>55061</v>
      </c>
      <c r="AJ11" s="769">
        <v>33980</v>
      </c>
    </row>
    <row r="12" spans="1:36" s="749" customFormat="1" ht="12.75">
      <c r="A12" s="762" t="s">
        <v>21</v>
      </c>
      <c r="B12" s="763"/>
      <c r="C12" s="737"/>
      <c r="D12" s="737">
        <v>3242</v>
      </c>
      <c r="E12" s="737">
        <v>3693</v>
      </c>
      <c r="F12" s="737">
        <v>3209</v>
      </c>
      <c r="G12" s="764"/>
      <c r="H12" s="541"/>
      <c r="I12" s="541">
        <v>4115</v>
      </c>
      <c r="J12" s="541">
        <v>3417</v>
      </c>
      <c r="K12" s="541">
        <v>2517</v>
      </c>
      <c r="L12" s="1069"/>
      <c r="M12" s="1071"/>
      <c r="N12" s="621">
        <v>0</v>
      </c>
      <c r="O12" s="621">
        <v>0</v>
      </c>
      <c r="P12" s="621">
        <v>0</v>
      </c>
      <c r="Q12" s="889"/>
      <c r="R12" s="741"/>
      <c r="S12" s="740">
        <f t="shared" si="4"/>
        <v>7357</v>
      </c>
      <c r="T12" s="740">
        <f t="shared" si="5"/>
        <v>7110</v>
      </c>
      <c r="U12" s="740">
        <f t="shared" si="6"/>
        <v>5726</v>
      </c>
      <c r="V12" s="767"/>
      <c r="W12" s="542"/>
      <c r="X12" s="328">
        <v>3045</v>
      </c>
      <c r="Y12" s="328">
        <v>3468</v>
      </c>
      <c r="Z12" s="328">
        <v>1710</v>
      </c>
      <c r="AA12" s="768"/>
      <c r="AB12" s="121"/>
      <c r="AC12" s="121">
        <f t="shared" si="10"/>
        <v>10402</v>
      </c>
      <c r="AD12" s="121">
        <f t="shared" si="11"/>
        <v>10578</v>
      </c>
      <c r="AE12" s="121">
        <f t="shared" si="12"/>
        <v>7436</v>
      </c>
      <c r="AF12" s="1076"/>
      <c r="AG12" s="770"/>
      <c r="AH12" s="770">
        <v>71025</v>
      </c>
      <c r="AI12" s="770">
        <v>50424</v>
      </c>
      <c r="AJ12" s="769">
        <v>43781</v>
      </c>
    </row>
    <row r="13" spans="1:36" s="749" customFormat="1" ht="12.75">
      <c r="A13" s="762" t="s">
        <v>22</v>
      </c>
      <c r="B13" s="763"/>
      <c r="C13" s="737"/>
      <c r="D13" s="737">
        <v>2902</v>
      </c>
      <c r="E13" s="737">
        <v>4714</v>
      </c>
      <c r="F13" s="737">
        <v>3922</v>
      </c>
      <c r="G13" s="764"/>
      <c r="H13" s="541"/>
      <c r="I13" s="541">
        <v>5096</v>
      </c>
      <c r="J13" s="541">
        <v>4328</v>
      </c>
      <c r="K13" s="541">
        <v>3154</v>
      </c>
      <c r="L13" s="1069"/>
      <c r="M13" s="1071"/>
      <c r="N13" s="621">
        <v>0</v>
      </c>
      <c r="O13" s="621">
        <v>0</v>
      </c>
      <c r="P13" s="621">
        <v>0</v>
      </c>
      <c r="Q13" s="889"/>
      <c r="R13" s="741"/>
      <c r="S13" s="740">
        <f t="shared" si="4"/>
        <v>7998</v>
      </c>
      <c r="T13" s="740">
        <f t="shared" si="5"/>
        <v>9042</v>
      </c>
      <c r="U13" s="740">
        <f t="shared" si="6"/>
        <v>7076</v>
      </c>
      <c r="V13" s="767"/>
      <c r="W13" s="542"/>
      <c r="X13" s="328">
        <v>3247</v>
      </c>
      <c r="Y13" s="328">
        <v>2641</v>
      </c>
      <c r="Z13" s="328">
        <v>1594</v>
      </c>
      <c r="AA13" s="768"/>
      <c r="AB13" s="121"/>
      <c r="AC13" s="121">
        <f t="shared" si="10"/>
        <v>11245</v>
      </c>
      <c r="AD13" s="121">
        <f t="shared" si="11"/>
        <v>11683</v>
      </c>
      <c r="AE13" s="121">
        <f t="shared" si="12"/>
        <v>8670</v>
      </c>
      <c r="AF13" s="1076"/>
      <c r="AG13" s="770"/>
      <c r="AH13" s="770">
        <v>84067</v>
      </c>
      <c r="AI13" s="770">
        <v>72774</v>
      </c>
      <c r="AJ13" s="769">
        <v>56169</v>
      </c>
    </row>
    <row r="14" spans="1:36" s="749" customFormat="1" ht="12.75">
      <c r="A14" s="762" t="s">
        <v>23</v>
      </c>
      <c r="B14" s="763"/>
      <c r="C14" s="352"/>
      <c r="D14" s="352">
        <v>2626</v>
      </c>
      <c r="E14" s="352">
        <v>4503</v>
      </c>
      <c r="F14" s="737">
        <v>3917</v>
      </c>
      <c r="G14" s="764"/>
      <c r="H14" s="353"/>
      <c r="I14" s="353">
        <v>4852</v>
      </c>
      <c r="J14" s="353">
        <v>3340</v>
      </c>
      <c r="K14" s="541">
        <v>3308</v>
      </c>
      <c r="L14" s="1069"/>
      <c r="M14" s="1070"/>
      <c r="N14" s="621">
        <v>0</v>
      </c>
      <c r="O14" s="621">
        <v>0</v>
      </c>
      <c r="P14" s="621">
        <v>0</v>
      </c>
      <c r="Q14" s="889"/>
      <c r="R14" s="740"/>
      <c r="S14" s="740">
        <f t="shared" si="4"/>
        <v>7478</v>
      </c>
      <c r="T14" s="740">
        <f t="shared" si="5"/>
        <v>7843</v>
      </c>
      <c r="U14" s="740">
        <f t="shared" si="6"/>
        <v>7225</v>
      </c>
      <c r="V14" s="767"/>
      <c r="W14" s="329"/>
      <c r="X14" s="329">
        <v>3432</v>
      </c>
      <c r="Y14" s="329">
        <v>3492</v>
      </c>
      <c r="Z14" s="328">
        <v>1682</v>
      </c>
      <c r="AA14" s="768"/>
      <c r="AB14" s="121"/>
      <c r="AC14" s="121">
        <f t="shared" si="10"/>
        <v>10910</v>
      </c>
      <c r="AD14" s="121">
        <f t="shared" si="11"/>
        <v>11335</v>
      </c>
      <c r="AE14" s="121">
        <f t="shared" si="12"/>
        <v>8907</v>
      </c>
      <c r="AF14" s="1076"/>
      <c r="AG14" s="770"/>
      <c r="AH14" s="770">
        <v>79841</v>
      </c>
      <c r="AI14" s="770">
        <v>68508</v>
      </c>
      <c r="AJ14" s="769">
        <v>64549</v>
      </c>
    </row>
    <row r="15" spans="1:36" s="749" customFormat="1" ht="13.5" thickBot="1">
      <c r="A15" s="1205" t="s">
        <v>24</v>
      </c>
      <c r="B15" s="772"/>
      <c r="C15" s="387"/>
      <c r="D15" s="387">
        <v>4637</v>
      </c>
      <c r="E15" s="387">
        <v>3765</v>
      </c>
      <c r="F15" s="773">
        <v>2823</v>
      </c>
      <c r="G15" s="774"/>
      <c r="H15" s="385"/>
      <c r="I15" s="385">
        <v>6713</v>
      </c>
      <c r="J15" s="385">
        <v>3689</v>
      </c>
      <c r="K15" s="545">
        <v>2644</v>
      </c>
      <c r="L15" s="1072"/>
      <c r="M15" s="1073"/>
      <c r="N15" s="622">
        <v>0</v>
      </c>
      <c r="O15" s="622">
        <v>0</v>
      </c>
      <c r="P15" s="621">
        <v>0</v>
      </c>
      <c r="Q15" s="890"/>
      <c r="R15" s="1063"/>
      <c r="S15" s="1063">
        <f t="shared" si="4"/>
        <v>11350</v>
      </c>
      <c r="T15" s="1063">
        <f t="shared" si="5"/>
        <v>7454</v>
      </c>
      <c r="U15" s="1063">
        <f t="shared" si="6"/>
        <v>5467</v>
      </c>
      <c r="V15" s="777"/>
      <c r="W15" s="955"/>
      <c r="X15" s="133">
        <v>3507</v>
      </c>
      <c r="Y15" s="133">
        <v>3370</v>
      </c>
      <c r="Z15" s="553">
        <v>2716</v>
      </c>
      <c r="AA15" s="778"/>
      <c r="AB15" s="555"/>
      <c r="AC15" s="555">
        <f t="shared" si="10"/>
        <v>14857</v>
      </c>
      <c r="AD15" s="555">
        <f t="shared" si="11"/>
        <v>10824</v>
      </c>
      <c r="AE15" s="555">
        <f t="shared" si="12"/>
        <v>8183</v>
      </c>
      <c r="AF15" s="1096"/>
      <c r="AG15" s="1087"/>
      <c r="AH15" s="1087">
        <v>118728</v>
      </c>
      <c r="AI15" s="1087">
        <v>73344</v>
      </c>
      <c r="AJ15" s="1088">
        <v>49797</v>
      </c>
    </row>
    <row r="16" spans="1:36" s="789" customFormat="1" ht="12" customHeight="1">
      <c r="A16" s="1325" t="s">
        <v>25</v>
      </c>
      <c r="B16" s="1089">
        <f>SUM(C16-D16)/D16</f>
        <v>-0.1285492559116224</v>
      </c>
      <c r="C16" s="782">
        <f>SUM(C4:C10)</f>
        <v>19090</v>
      </c>
      <c r="D16" s="782">
        <f>SUM(D4:D10)</f>
        <v>21906</v>
      </c>
      <c r="E16" s="782">
        <f>SUM(E4:E10)</f>
        <v>27839</v>
      </c>
      <c r="F16" s="782">
        <f>SUM(F4:F10)</f>
        <v>15445</v>
      </c>
      <c r="G16" s="875">
        <f>SUM(H16-I16)/I16</f>
        <v>0.42236640905897427</v>
      </c>
      <c r="H16" s="782">
        <f>SUM(H4:H10)</f>
        <v>34417</v>
      </c>
      <c r="I16" s="782">
        <f>SUM(I4:I10)</f>
        <v>24197</v>
      </c>
      <c r="J16" s="782">
        <f>SUM(J4:J10)</f>
        <v>21456</v>
      </c>
      <c r="K16" s="782">
        <f>SUM(K4:K10)</f>
        <v>11994</v>
      </c>
      <c r="L16" s="875" t="e">
        <f>SUM(M16-N16)/N16</f>
        <v>#DIV/0!</v>
      </c>
      <c r="M16" s="782">
        <f>SUM(M4:M10)</f>
        <v>0</v>
      </c>
      <c r="N16" s="782">
        <f>SUM(N4:N10)</f>
        <v>0</v>
      </c>
      <c r="O16" s="782">
        <f>SUM(O4:O10)</f>
        <v>0</v>
      </c>
      <c r="P16" s="782">
        <f>SUM(P4:P10)</f>
        <v>0</v>
      </c>
      <c r="Q16" s="875">
        <f>SUM(R16-S16)/S16</f>
        <v>0.16059692427824654</v>
      </c>
      <c r="R16" s="876">
        <f>+C16+H16+M16</f>
        <v>53507</v>
      </c>
      <c r="S16" s="876">
        <f t="shared" si="4"/>
        <v>46103</v>
      </c>
      <c r="T16" s="876">
        <f>+E16+J16+O16</f>
        <v>49295</v>
      </c>
      <c r="U16" s="1105">
        <f>+F16+K16+P16</f>
        <v>27439</v>
      </c>
      <c r="V16" s="1089">
        <f>SUM(W16-X16)/X16</f>
        <v>0.05177664974619289</v>
      </c>
      <c r="W16" s="782">
        <f>SUM(W4:W10)</f>
        <v>18648</v>
      </c>
      <c r="X16" s="782">
        <f>SUM(X4:X10)</f>
        <v>17730</v>
      </c>
      <c r="Y16" s="782">
        <f>SUM(Y4:Y10)</f>
        <v>19132</v>
      </c>
      <c r="Z16" s="782">
        <f>SUM(Z4:Z10)</f>
        <v>7508</v>
      </c>
      <c r="AA16" s="875">
        <f>SUM(AB16-AC16)/AC16</f>
        <v>0.13037143797095546</v>
      </c>
      <c r="AB16" s="399">
        <f>+R16+W16</f>
        <v>72155</v>
      </c>
      <c r="AC16" s="399">
        <f t="shared" si="10"/>
        <v>63833</v>
      </c>
      <c r="AD16" s="399">
        <f t="shared" si="11"/>
        <v>68427</v>
      </c>
      <c r="AE16" s="400">
        <f t="shared" si="12"/>
        <v>34947</v>
      </c>
      <c r="AF16" s="1089">
        <f>SUM(AG16-AH16)/AH16</f>
        <v>0.2884338107911183</v>
      </c>
      <c r="AG16" s="782">
        <f>SUM(AG4:AG10)</f>
        <v>585311</v>
      </c>
      <c r="AH16" s="782">
        <f>SUM(AH4:AH10)</f>
        <v>454281</v>
      </c>
      <c r="AI16" s="782">
        <f>SUM(AI4:AI10)</f>
        <v>398335</v>
      </c>
      <c r="AJ16" s="782">
        <f>SUM(AJ4:AJ10)</f>
        <v>253177</v>
      </c>
    </row>
    <row r="17" spans="1:36" s="789" customFormat="1" ht="13.5" thickBot="1">
      <c r="A17" s="1326" t="s">
        <v>28</v>
      </c>
      <c r="B17" s="1090">
        <f>SUM(C17-D17)/D17</f>
        <v>-0.1426550447796943</v>
      </c>
      <c r="C17" s="785">
        <f>AVERAGE(C4:C15)</f>
        <v>2727.1428571428573</v>
      </c>
      <c r="D17" s="785">
        <f>AVERAGE(D4:D15)</f>
        <v>3180.9166666666665</v>
      </c>
      <c r="E17" s="785">
        <f>AVERAGE(E4:E15)</f>
        <v>4053.5833333333335</v>
      </c>
      <c r="F17" s="786">
        <f>AVERAGE(F4:F15)</f>
        <v>2660.8333333333335</v>
      </c>
      <c r="G17" s="878">
        <f>SUM(H17-I17)/I17</f>
        <v>0.22746523453869436</v>
      </c>
      <c r="H17" s="785">
        <f>AVERAGE(H4:H15)</f>
        <v>4916.714285714285</v>
      </c>
      <c r="I17" s="785">
        <f>AVERAGE(I4:I15)</f>
        <v>4005.5833333333335</v>
      </c>
      <c r="J17" s="785">
        <f>AVERAGE(J4:J15)</f>
        <v>3235.0833333333335</v>
      </c>
      <c r="K17" s="786">
        <f>AVERAGE(K4:K15)</f>
        <v>2151.8333333333335</v>
      </c>
      <c r="L17" s="878" t="e">
        <f>SUM(M17-N17)/N17</f>
        <v>#DIV/0!</v>
      </c>
      <c r="M17" s="785">
        <f>AVERAGE(M4:M15)</f>
        <v>0</v>
      </c>
      <c r="N17" s="785">
        <f>AVERAGE(N4:N15)</f>
        <v>0</v>
      </c>
      <c r="O17" s="785">
        <f>AVERAGE(O4:O15)</f>
        <v>0</v>
      </c>
      <c r="P17" s="1086">
        <f>AVERAGE(P4:P15)</f>
        <v>0</v>
      </c>
      <c r="Q17" s="878">
        <f>SUM(R17-S17)/S17</f>
        <v>0.06364115255787144</v>
      </c>
      <c r="R17" s="785">
        <f>AVERAGE(R4:R15)</f>
        <v>7643.857142857143</v>
      </c>
      <c r="S17" s="785">
        <f>AVERAGE(S4:S15)</f>
        <v>7186.5</v>
      </c>
      <c r="T17" s="785">
        <f>AVERAGE(T4:T15)</f>
        <v>7288.666666666667</v>
      </c>
      <c r="U17" s="786">
        <f>AVERAGE(U4:U15)</f>
        <v>4812.666666666667</v>
      </c>
      <c r="V17" s="1090">
        <f>SUM(W17-X17)/X17</f>
        <v>-0.06213694772047175</v>
      </c>
      <c r="W17" s="785">
        <f>AVERAGE(W4:W15)</f>
        <v>2664</v>
      </c>
      <c r="X17" s="785">
        <f>AVERAGE(X4:X15)</f>
        <v>2840.5</v>
      </c>
      <c r="Y17" s="785">
        <f>AVERAGE(Y4:Y15)</f>
        <v>3020.5833333333335</v>
      </c>
      <c r="Z17" s="1086">
        <f>AVERAGE(Z4:Z15)</f>
        <v>1445.75</v>
      </c>
      <c r="AA17" s="878">
        <f>SUM(AB17-AC17)/AC17</f>
        <v>0.028010087050677483</v>
      </c>
      <c r="AB17" s="785">
        <f>AVERAGE(AB4:AB15)</f>
        <v>10307.857142857143</v>
      </c>
      <c r="AC17" s="785">
        <f>AVERAGE(AC4:AC15)</f>
        <v>10027</v>
      </c>
      <c r="AD17" s="785">
        <f>AVERAGE(AD4:AD15)</f>
        <v>10309.25</v>
      </c>
      <c r="AE17" s="786">
        <f>AVERAGE(AE4:AE15)</f>
        <v>6258.416666666667</v>
      </c>
      <c r="AF17" s="1090">
        <f>SUM(AG17-AH17)/AH17</f>
        <v>0.15912712944514734</v>
      </c>
      <c r="AG17" s="785">
        <f>AVERAGE(AG4:AG15)</f>
        <v>83615.85714285714</v>
      </c>
      <c r="AH17" s="785">
        <f>AVERAGE(AH4:AH15)</f>
        <v>72136.91666666667</v>
      </c>
      <c r="AI17" s="785">
        <f>AVERAGE(AI4:AI15)</f>
        <v>59870.5</v>
      </c>
      <c r="AJ17" s="786">
        <f>AVERAGE(AJ4:AJ15)</f>
        <v>41787.75</v>
      </c>
    </row>
    <row r="19" spans="3:34" s="618" customFormat="1" ht="11.25">
      <c r="C19" s="618">
        <v>19090</v>
      </c>
      <c r="D19" s="618">
        <v>21906</v>
      </c>
      <c r="H19" s="618">
        <v>34417</v>
      </c>
      <c r="I19" s="618">
        <v>24197</v>
      </c>
      <c r="W19" s="618">
        <v>18648</v>
      </c>
      <c r="X19" s="618">
        <v>17730</v>
      </c>
      <c r="AG19" s="618">
        <v>585311</v>
      </c>
      <c r="AH19" s="618">
        <v>454281</v>
      </c>
    </row>
    <row r="20" spans="3:34" s="618" customFormat="1" ht="11.25">
      <c r="C20" s="618">
        <f>+C19-C16</f>
        <v>0</v>
      </c>
      <c r="D20" s="618">
        <f>+D19-D16</f>
        <v>0</v>
      </c>
      <c r="H20" s="618">
        <f>+H19-H16</f>
        <v>0</v>
      </c>
      <c r="I20" s="618">
        <f>+I19-I16</f>
        <v>0</v>
      </c>
      <c r="W20" s="618">
        <f>+W19-W16</f>
        <v>0</v>
      </c>
      <c r="X20" s="618">
        <f>+X19-X16</f>
        <v>0</v>
      </c>
      <c r="AG20" s="618">
        <f>+AG19-AG16</f>
        <v>0</v>
      </c>
      <c r="AH20" s="618">
        <f>+AH19-AH16</f>
        <v>0</v>
      </c>
    </row>
    <row r="21" s="618" customFormat="1" ht="11.25"/>
  </sheetData>
  <mergeCells count="10">
    <mergeCell ref="A1:A2"/>
    <mergeCell ref="B1:E1"/>
    <mergeCell ref="AC1:AJ1"/>
    <mergeCell ref="B3:F3"/>
    <mergeCell ref="G3:K3"/>
    <mergeCell ref="L3:P3"/>
    <mergeCell ref="Q3:U3"/>
    <mergeCell ref="V3:Z3"/>
    <mergeCell ref="AA3:AE3"/>
    <mergeCell ref="AF3:AJ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selection activeCell="A15" sqref="A15"/>
    </sheetView>
  </sheetViews>
  <sheetFormatPr defaultColWidth="9.140625" defaultRowHeight="12.75"/>
  <cols>
    <col min="1" max="1" width="17.421875" style="1" customWidth="1"/>
    <col min="2" max="2" width="6.140625" style="1" customWidth="1"/>
    <col min="3" max="5" width="6.57421875" style="1" bestFit="1" customWidth="1"/>
    <col min="6" max="6" width="5.7109375" style="1" customWidth="1"/>
    <col min="7" max="7" width="6.140625" style="1" customWidth="1"/>
    <col min="8" max="9" width="5.7109375" style="1" customWidth="1"/>
    <col min="10" max="10" width="6.57421875" style="1" bestFit="1" customWidth="1"/>
    <col min="11" max="11" width="5.7109375" style="1" customWidth="1"/>
    <col min="12" max="12" width="6.7109375" style="1" customWidth="1"/>
    <col min="13" max="13" width="4.421875" style="1" customWidth="1"/>
    <col min="14" max="16" width="5.7109375" style="1" customWidth="1"/>
    <col min="17" max="17" width="6.140625" style="1" customWidth="1"/>
    <col min="18" max="21" width="4.421875" style="1" customWidth="1"/>
    <col min="22" max="22" width="6.140625" style="1" customWidth="1"/>
    <col min="23" max="26" width="5.7109375" style="1" customWidth="1"/>
    <col min="27" max="16384" width="9.140625" style="1" customWidth="1"/>
  </cols>
  <sheetData>
    <row r="1" spans="1:26" s="749" customFormat="1" ht="13.5" thickBot="1">
      <c r="A1" s="1901" t="s">
        <v>211</v>
      </c>
      <c r="B1" s="1903"/>
      <c r="C1" s="1904"/>
      <c r="D1" s="1904"/>
      <c r="E1" s="1905"/>
      <c r="F1" s="244"/>
      <c r="G1" s="271"/>
      <c r="H1" s="271"/>
      <c r="I1" s="271"/>
      <c r="J1" s="271"/>
      <c r="K1" s="271"/>
      <c r="L1" s="271"/>
      <c r="M1" s="301"/>
      <c r="N1" s="301"/>
      <c r="O1" s="301"/>
      <c r="P1" s="301"/>
      <c r="Q1" s="244"/>
      <c r="R1" s="386"/>
      <c r="S1" s="386"/>
      <c r="T1" s="386"/>
      <c r="U1" s="386"/>
      <c r="V1" s="271"/>
      <c r="W1" s="271"/>
      <c r="X1" s="1906"/>
      <c r="Y1" s="1907"/>
      <c r="Z1" s="1907"/>
    </row>
    <row r="2" spans="1:26" s="749" customFormat="1" ht="23.25" thickBot="1">
      <c r="A2" s="1902"/>
      <c r="B2" s="554" t="s">
        <v>179</v>
      </c>
      <c r="C2" s="466">
        <v>2008</v>
      </c>
      <c r="D2" s="466">
        <v>2007</v>
      </c>
      <c r="E2" s="466">
        <v>2006</v>
      </c>
      <c r="F2" s="466">
        <v>2005</v>
      </c>
      <c r="G2" s="496" t="s">
        <v>179</v>
      </c>
      <c r="H2" s="112">
        <v>2008</v>
      </c>
      <c r="I2" s="112">
        <v>2007</v>
      </c>
      <c r="J2" s="112">
        <v>2006</v>
      </c>
      <c r="K2" s="112">
        <v>2005</v>
      </c>
      <c r="L2" s="1074" t="s">
        <v>179</v>
      </c>
      <c r="M2" s="619">
        <v>2008</v>
      </c>
      <c r="N2" s="619">
        <v>2007</v>
      </c>
      <c r="O2" s="619">
        <v>2006</v>
      </c>
      <c r="P2" s="619">
        <v>2005</v>
      </c>
      <c r="Q2" s="911" t="s">
        <v>179</v>
      </c>
      <c r="R2" s="1049">
        <v>2008</v>
      </c>
      <c r="S2" s="1049">
        <v>2007</v>
      </c>
      <c r="T2" s="1049">
        <v>2006</v>
      </c>
      <c r="U2" s="1049">
        <v>2005</v>
      </c>
      <c r="V2" s="501" t="s">
        <v>179</v>
      </c>
      <c r="W2" s="114">
        <v>2008</v>
      </c>
      <c r="X2" s="114">
        <v>2007</v>
      </c>
      <c r="Y2" s="114">
        <v>2006</v>
      </c>
      <c r="Z2" s="114">
        <v>2005</v>
      </c>
    </row>
    <row r="3" spans="1:26" s="749" customFormat="1" ht="13.5" thickBot="1">
      <c r="A3" s="309"/>
      <c r="B3" s="1894" t="s">
        <v>213</v>
      </c>
      <c r="C3" s="1895"/>
      <c r="D3" s="1895"/>
      <c r="E3" s="1895"/>
      <c r="F3" s="1895"/>
      <c r="G3" s="1896" t="s">
        <v>212</v>
      </c>
      <c r="H3" s="1896"/>
      <c r="I3" s="1896"/>
      <c r="J3" s="1896"/>
      <c r="K3" s="1896"/>
      <c r="L3" s="1890" t="s">
        <v>88</v>
      </c>
      <c r="M3" s="1896"/>
      <c r="N3" s="1896"/>
      <c r="O3" s="1896"/>
      <c r="P3" s="1896"/>
      <c r="Q3" s="1891" t="s">
        <v>214</v>
      </c>
      <c r="R3" s="1892"/>
      <c r="S3" s="1892"/>
      <c r="T3" s="1892"/>
      <c r="U3" s="1892"/>
      <c r="V3" s="1930" t="s">
        <v>116</v>
      </c>
      <c r="W3" s="1931"/>
      <c r="X3" s="1931"/>
      <c r="Y3" s="1931"/>
      <c r="Z3" s="1932"/>
    </row>
    <row r="4" spans="1:26" s="749" customFormat="1" ht="12.75">
      <c r="A4" s="750" t="s">
        <v>13</v>
      </c>
      <c r="B4" s="751">
        <f aca="true" t="shared" si="0" ref="B4:B10">SUM(C4-D4)/D4</f>
        <v>0.15582329317269075</v>
      </c>
      <c r="C4" s="279">
        <v>1439</v>
      </c>
      <c r="D4" s="279">
        <v>1245</v>
      </c>
      <c r="E4" s="279">
        <v>1185</v>
      </c>
      <c r="F4" s="279">
        <v>1526</v>
      </c>
      <c r="G4" s="754">
        <f aca="true" t="shared" si="1" ref="G4:G10">SUM(H4-I4)/I4</f>
        <v>0.7369826435246996</v>
      </c>
      <c r="H4" s="280">
        <v>1301</v>
      </c>
      <c r="I4" s="1568">
        <v>749</v>
      </c>
      <c r="J4" s="280">
        <v>1489</v>
      </c>
      <c r="K4" s="831">
        <v>1355</v>
      </c>
      <c r="L4" s="1067">
        <f aca="true" t="shared" si="2" ref="L4:L10">SUM(M4-N4)/N4</f>
        <v>-0.9950884086444007</v>
      </c>
      <c r="M4" s="1562">
        <v>5</v>
      </c>
      <c r="N4" s="1554">
        <v>1018</v>
      </c>
      <c r="O4" s="1553">
        <v>386</v>
      </c>
      <c r="P4" s="1559">
        <v>196</v>
      </c>
      <c r="Q4" s="886"/>
      <c r="R4" s="731">
        <v>0</v>
      </c>
      <c r="S4" s="731">
        <v>0</v>
      </c>
      <c r="T4" s="731">
        <v>0</v>
      </c>
      <c r="U4" s="1564">
        <v>0</v>
      </c>
      <c r="V4" s="759">
        <f aca="true" t="shared" si="3" ref="V4:V10">SUM(W4-X4)/X4</f>
        <v>-0.08864541832669323</v>
      </c>
      <c r="W4" s="197">
        <f aca="true" t="shared" si="4" ref="W4:W10">+C4+H4+M4+R4</f>
        <v>2745</v>
      </c>
      <c r="X4" s="197">
        <f aca="true" t="shared" si="5" ref="X4:X15">+D4+I4+N4+S4</f>
        <v>3012</v>
      </c>
      <c r="Y4" s="197">
        <f aca="true" t="shared" si="6" ref="Y4:Y15">+E4+J4+O4+T4</f>
        <v>3060</v>
      </c>
      <c r="Z4" s="198">
        <f aca="true" t="shared" si="7" ref="Z4:Z15">+F4+K4+P4+U4</f>
        <v>3077</v>
      </c>
    </row>
    <row r="5" spans="1:26" s="749" customFormat="1" ht="12.75">
      <c r="A5" s="762" t="s">
        <v>14</v>
      </c>
      <c r="B5" s="763">
        <f t="shared" si="0"/>
        <v>-0.07505863956215794</v>
      </c>
      <c r="C5" s="279">
        <v>1183</v>
      </c>
      <c r="D5" s="279">
        <v>1279</v>
      </c>
      <c r="E5" s="279">
        <v>1378</v>
      </c>
      <c r="F5" s="279">
        <v>595</v>
      </c>
      <c r="G5" s="764">
        <f t="shared" si="1"/>
        <v>0.23448275862068965</v>
      </c>
      <c r="H5" s="280">
        <v>1253</v>
      </c>
      <c r="I5" s="280">
        <v>1015</v>
      </c>
      <c r="J5" s="280">
        <v>1477</v>
      </c>
      <c r="K5" s="831">
        <v>447</v>
      </c>
      <c r="L5" s="1069">
        <f t="shared" si="2"/>
        <v>-0.3738532110091743</v>
      </c>
      <c r="M5" s="1563">
        <v>273</v>
      </c>
      <c r="N5" s="1556">
        <v>436</v>
      </c>
      <c r="O5" s="1555">
        <v>265</v>
      </c>
      <c r="P5" s="1560">
        <v>389</v>
      </c>
      <c r="Q5" s="889"/>
      <c r="R5" s="740">
        <v>0</v>
      </c>
      <c r="S5" s="740">
        <v>0</v>
      </c>
      <c r="T5" s="740">
        <v>0</v>
      </c>
      <c r="U5" s="1565">
        <v>0</v>
      </c>
      <c r="V5" s="768">
        <f t="shared" si="3"/>
        <v>-0.007692307692307693</v>
      </c>
      <c r="W5" s="121">
        <f t="shared" si="4"/>
        <v>2709</v>
      </c>
      <c r="X5" s="121">
        <f t="shared" si="5"/>
        <v>2730</v>
      </c>
      <c r="Y5" s="121">
        <f t="shared" si="6"/>
        <v>3120</v>
      </c>
      <c r="Z5" s="122">
        <f t="shared" si="7"/>
        <v>1431</v>
      </c>
    </row>
    <row r="6" spans="1:26" s="749" customFormat="1" ht="12.75">
      <c r="A6" s="762" t="s">
        <v>15</v>
      </c>
      <c r="B6" s="763">
        <f t="shared" si="0"/>
        <v>0.7187039764359352</v>
      </c>
      <c r="C6" s="279">
        <v>1167</v>
      </c>
      <c r="D6" s="279">
        <v>679</v>
      </c>
      <c r="E6" s="279">
        <v>2183</v>
      </c>
      <c r="F6" s="279">
        <v>1969</v>
      </c>
      <c r="G6" s="764">
        <f t="shared" si="1"/>
        <v>-0.20623281393217233</v>
      </c>
      <c r="H6" s="280">
        <v>1732</v>
      </c>
      <c r="I6" s="280">
        <v>2182</v>
      </c>
      <c r="J6" s="280">
        <v>931</v>
      </c>
      <c r="K6" s="831">
        <v>1980</v>
      </c>
      <c r="L6" s="1069">
        <f t="shared" si="2"/>
        <v>-0.5989717223650386</v>
      </c>
      <c r="M6" s="1563">
        <v>156</v>
      </c>
      <c r="N6" s="1556">
        <v>389</v>
      </c>
      <c r="O6" s="1555">
        <v>628</v>
      </c>
      <c r="P6" s="1560">
        <v>307</v>
      </c>
      <c r="Q6" s="889"/>
      <c r="R6" s="740">
        <v>0</v>
      </c>
      <c r="S6" s="740">
        <v>0</v>
      </c>
      <c r="T6" s="740">
        <v>0</v>
      </c>
      <c r="U6" s="1565">
        <v>0</v>
      </c>
      <c r="V6" s="768">
        <f t="shared" si="3"/>
        <v>-0.06</v>
      </c>
      <c r="W6" s="121">
        <f t="shared" si="4"/>
        <v>3055</v>
      </c>
      <c r="X6" s="121">
        <f t="shared" si="5"/>
        <v>3250</v>
      </c>
      <c r="Y6" s="121">
        <f t="shared" si="6"/>
        <v>3742</v>
      </c>
      <c r="Z6" s="122">
        <f t="shared" si="7"/>
        <v>4256</v>
      </c>
    </row>
    <row r="7" spans="1:26" s="749" customFormat="1" ht="12.75">
      <c r="A7" s="762" t="s">
        <v>16</v>
      </c>
      <c r="B7" s="763">
        <f t="shared" si="0"/>
        <v>-0.23508522727272727</v>
      </c>
      <c r="C7" s="279">
        <v>1077</v>
      </c>
      <c r="D7" s="279">
        <v>1408</v>
      </c>
      <c r="E7" s="279">
        <v>1663</v>
      </c>
      <c r="F7" s="279">
        <v>1053</v>
      </c>
      <c r="G7" s="764">
        <f t="shared" si="1"/>
        <v>-0.1643312101910828</v>
      </c>
      <c r="H7" s="280">
        <v>1312</v>
      </c>
      <c r="I7" s="280">
        <v>1570</v>
      </c>
      <c r="J7" s="280">
        <v>1456</v>
      </c>
      <c r="K7" s="831">
        <v>569</v>
      </c>
      <c r="L7" s="1069">
        <f t="shared" si="2"/>
        <v>-1</v>
      </c>
      <c r="M7" s="1563">
        <v>0</v>
      </c>
      <c r="N7" s="1556">
        <v>312</v>
      </c>
      <c r="O7" s="1555">
        <v>426</v>
      </c>
      <c r="P7" s="1560">
        <v>114</v>
      </c>
      <c r="Q7" s="889"/>
      <c r="R7" s="740">
        <v>0</v>
      </c>
      <c r="S7" s="740">
        <v>0</v>
      </c>
      <c r="T7" s="740">
        <v>0</v>
      </c>
      <c r="U7" s="1565">
        <v>0</v>
      </c>
      <c r="V7" s="768">
        <f t="shared" si="3"/>
        <v>-0.27386018237082066</v>
      </c>
      <c r="W7" s="121">
        <f t="shared" si="4"/>
        <v>2389</v>
      </c>
      <c r="X7" s="121">
        <f t="shared" si="5"/>
        <v>3290</v>
      </c>
      <c r="Y7" s="121">
        <f t="shared" si="6"/>
        <v>3545</v>
      </c>
      <c r="Z7" s="122">
        <f t="shared" si="7"/>
        <v>1736</v>
      </c>
    </row>
    <row r="8" spans="1:26" s="749" customFormat="1" ht="12.75">
      <c r="A8" s="762" t="s">
        <v>17</v>
      </c>
      <c r="B8" s="763">
        <f t="shared" si="0"/>
        <v>-0.10799522673031026</v>
      </c>
      <c r="C8" s="279">
        <v>1495</v>
      </c>
      <c r="D8" s="279">
        <v>1676</v>
      </c>
      <c r="E8" s="279">
        <v>1515</v>
      </c>
      <c r="F8" s="279">
        <v>1223</v>
      </c>
      <c r="G8" s="764">
        <f t="shared" si="1"/>
        <v>0.5535055350553506</v>
      </c>
      <c r="H8" s="280">
        <v>1684</v>
      </c>
      <c r="I8" s="280">
        <v>1084</v>
      </c>
      <c r="J8" s="280">
        <v>2316</v>
      </c>
      <c r="K8" s="831">
        <v>1465</v>
      </c>
      <c r="L8" s="1069">
        <f t="shared" si="2"/>
        <v>-0.7586206896551724</v>
      </c>
      <c r="M8" s="1563">
        <v>63</v>
      </c>
      <c r="N8" s="1556">
        <v>261</v>
      </c>
      <c r="O8" s="1555">
        <v>658</v>
      </c>
      <c r="P8" s="1560">
        <v>525</v>
      </c>
      <c r="Q8" s="889"/>
      <c r="R8" s="740">
        <v>0</v>
      </c>
      <c r="S8" s="740">
        <v>0</v>
      </c>
      <c r="T8" s="740">
        <v>0</v>
      </c>
      <c r="U8" s="1565">
        <v>0</v>
      </c>
      <c r="V8" s="768">
        <f t="shared" si="3"/>
        <v>0.07315458457464416</v>
      </c>
      <c r="W8" s="121">
        <f t="shared" si="4"/>
        <v>3242</v>
      </c>
      <c r="X8" s="121">
        <f t="shared" si="5"/>
        <v>3021</v>
      </c>
      <c r="Y8" s="121">
        <f t="shared" si="6"/>
        <v>4489</v>
      </c>
      <c r="Z8" s="122">
        <f t="shared" si="7"/>
        <v>3213</v>
      </c>
    </row>
    <row r="9" spans="1:26" s="749" customFormat="1" ht="12.75">
      <c r="A9" s="762" t="s">
        <v>18</v>
      </c>
      <c r="B9" s="763">
        <f t="shared" si="0"/>
        <v>0.1885132005558129</v>
      </c>
      <c r="C9" s="1591">
        <v>2566</v>
      </c>
      <c r="D9" s="279">
        <v>2159</v>
      </c>
      <c r="E9" s="279">
        <v>1230</v>
      </c>
      <c r="F9" s="279">
        <v>1411</v>
      </c>
      <c r="G9" s="764">
        <f t="shared" si="1"/>
        <v>-0.08400214018191546</v>
      </c>
      <c r="H9" s="1059">
        <v>1712</v>
      </c>
      <c r="I9" s="280">
        <v>1869</v>
      </c>
      <c r="J9" s="280">
        <v>726</v>
      </c>
      <c r="K9" s="831">
        <v>1522</v>
      </c>
      <c r="L9" s="1069">
        <f t="shared" si="2"/>
        <v>-1</v>
      </c>
      <c r="M9" s="1071">
        <v>0</v>
      </c>
      <c r="N9" s="1556">
        <v>204</v>
      </c>
      <c r="O9" s="1555">
        <v>314</v>
      </c>
      <c r="P9" s="1560">
        <v>277</v>
      </c>
      <c r="Q9" s="889"/>
      <c r="R9" s="740">
        <v>0</v>
      </c>
      <c r="S9" s="740">
        <v>0</v>
      </c>
      <c r="T9" s="740">
        <v>0</v>
      </c>
      <c r="U9" s="1565">
        <v>0</v>
      </c>
      <c r="V9" s="768">
        <f t="shared" si="3"/>
        <v>0.010869565217391304</v>
      </c>
      <c r="W9" s="121">
        <f t="shared" si="4"/>
        <v>4278</v>
      </c>
      <c r="X9" s="121">
        <f t="shared" si="5"/>
        <v>4232</v>
      </c>
      <c r="Y9" s="121">
        <f t="shared" si="6"/>
        <v>2270</v>
      </c>
      <c r="Z9" s="122">
        <f t="shared" si="7"/>
        <v>3210</v>
      </c>
    </row>
    <row r="10" spans="1:26" s="749" customFormat="1" ht="12.75">
      <c r="A10" s="762" t="s">
        <v>19</v>
      </c>
      <c r="B10" s="763">
        <f t="shared" si="0"/>
        <v>-0.3526570048309179</v>
      </c>
      <c r="C10" s="720">
        <v>1206</v>
      </c>
      <c r="D10" s="279">
        <v>1863</v>
      </c>
      <c r="E10" s="279">
        <v>2116</v>
      </c>
      <c r="F10" s="279">
        <v>1535</v>
      </c>
      <c r="G10" s="764">
        <f t="shared" si="1"/>
        <v>-0.4264069264069264</v>
      </c>
      <c r="H10" s="1059">
        <v>795</v>
      </c>
      <c r="I10" s="280">
        <v>1386</v>
      </c>
      <c r="J10" s="280">
        <v>1714</v>
      </c>
      <c r="K10" s="831">
        <v>2058</v>
      </c>
      <c r="L10" s="1069">
        <f t="shared" si="2"/>
        <v>-0.7744360902255639</v>
      </c>
      <c r="M10" s="1071">
        <v>60</v>
      </c>
      <c r="N10" s="1556">
        <v>266</v>
      </c>
      <c r="O10" s="1555">
        <v>753</v>
      </c>
      <c r="P10" s="1560">
        <v>459</v>
      </c>
      <c r="Q10" s="889"/>
      <c r="R10" s="741">
        <v>0</v>
      </c>
      <c r="S10" s="740">
        <v>0</v>
      </c>
      <c r="T10" s="740">
        <v>0</v>
      </c>
      <c r="U10" s="1565">
        <v>0</v>
      </c>
      <c r="V10" s="768">
        <f t="shared" si="3"/>
        <v>-0.41365576102418206</v>
      </c>
      <c r="W10" s="121">
        <f t="shared" si="4"/>
        <v>2061</v>
      </c>
      <c r="X10" s="121">
        <f t="shared" si="5"/>
        <v>3515</v>
      </c>
      <c r="Y10" s="121">
        <f t="shared" si="6"/>
        <v>4583</v>
      </c>
      <c r="Z10" s="122">
        <f t="shared" si="7"/>
        <v>4052</v>
      </c>
    </row>
    <row r="11" spans="1:26" s="749" customFormat="1" ht="12.75">
      <c r="A11" s="762" t="s">
        <v>20</v>
      </c>
      <c r="B11" s="763"/>
      <c r="C11" s="720"/>
      <c r="D11" s="279">
        <v>1289</v>
      </c>
      <c r="E11" s="279">
        <v>1969</v>
      </c>
      <c r="F11" s="279">
        <v>1764</v>
      </c>
      <c r="G11" s="764"/>
      <c r="H11" s="1059"/>
      <c r="I11" s="280">
        <v>1789</v>
      </c>
      <c r="J11" s="280">
        <v>1922</v>
      </c>
      <c r="K11" s="831">
        <v>1513</v>
      </c>
      <c r="L11" s="1069"/>
      <c r="M11" s="1071"/>
      <c r="N11" s="1556">
        <v>134</v>
      </c>
      <c r="O11" s="1555">
        <v>635</v>
      </c>
      <c r="P11" s="1560">
        <v>247</v>
      </c>
      <c r="Q11" s="889"/>
      <c r="R11" s="741"/>
      <c r="S11" s="740">
        <v>0</v>
      </c>
      <c r="T11" s="740">
        <v>0</v>
      </c>
      <c r="U11" s="1565">
        <v>0</v>
      </c>
      <c r="V11" s="768"/>
      <c r="W11" s="121"/>
      <c r="X11" s="121">
        <f t="shared" si="5"/>
        <v>3212</v>
      </c>
      <c r="Y11" s="121">
        <f t="shared" si="6"/>
        <v>4526</v>
      </c>
      <c r="Z11" s="122">
        <f t="shared" si="7"/>
        <v>3524</v>
      </c>
    </row>
    <row r="12" spans="1:26" s="749" customFormat="1" ht="12.75">
      <c r="A12" s="762" t="s">
        <v>21</v>
      </c>
      <c r="B12" s="763"/>
      <c r="C12" s="720"/>
      <c r="D12" s="279">
        <v>2067</v>
      </c>
      <c r="E12" s="279">
        <v>1786</v>
      </c>
      <c r="F12" s="279">
        <v>2019</v>
      </c>
      <c r="G12" s="764"/>
      <c r="H12" s="1059"/>
      <c r="I12" s="280">
        <v>1715</v>
      </c>
      <c r="J12" s="280">
        <v>1921</v>
      </c>
      <c r="K12" s="831">
        <v>1235</v>
      </c>
      <c r="L12" s="1069"/>
      <c r="M12" s="1071"/>
      <c r="N12" s="1556">
        <v>9</v>
      </c>
      <c r="O12" s="1555">
        <v>472</v>
      </c>
      <c r="P12" s="1560">
        <v>383</v>
      </c>
      <c r="Q12" s="889"/>
      <c r="R12" s="741"/>
      <c r="S12" s="740">
        <v>0</v>
      </c>
      <c r="T12" s="740">
        <v>0</v>
      </c>
      <c r="U12" s="1565">
        <v>0</v>
      </c>
      <c r="V12" s="768"/>
      <c r="W12" s="121"/>
      <c r="X12" s="121">
        <f t="shared" si="5"/>
        <v>3791</v>
      </c>
      <c r="Y12" s="121">
        <f t="shared" si="6"/>
        <v>4179</v>
      </c>
      <c r="Z12" s="122">
        <f t="shared" si="7"/>
        <v>3637</v>
      </c>
    </row>
    <row r="13" spans="1:26" s="749" customFormat="1" ht="12.75">
      <c r="A13" s="762" t="s">
        <v>22</v>
      </c>
      <c r="B13" s="763"/>
      <c r="C13" s="720"/>
      <c r="D13" s="279">
        <v>2347</v>
      </c>
      <c r="E13" s="279">
        <v>2580</v>
      </c>
      <c r="F13" s="279">
        <v>1551</v>
      </c>
      <c r="G13" s="764"/>
      <c r="H13" s="1059"/>
      <c r="I13" s="280">
        <v>1741</v>
      </c>
      <c r="J13" s="280">
        <v>2264</v>
      </c>
      <c r="K13" s="831">
        <v>1225</v>
      </c>
      <c r="L13" s="1069"/>
      <c r="M13" s="1071"/>
      <c r="N13" s="1556">
        <v>71</v>
      </c>
      <c r="O13" s="1555">
        <v>522</v>
      </c>
      <c r="P13" s="1560">
        <v>400</v>
      </c>
      <c r="Q13" s="889"/>
      <c r="R13" s="741"/>
      <c r="S13" s="740">
        <v>0</v>
      </c>
      <c r="T13" s="740">
        <v>0</v>
      </c>
      <c r="U13" s="1565">
        <v>0</v>
      </c>
      <c r="V13" s="768"/>
      <c r="W13" s="121"/>
      <c r="X13" s="121">
        <f t="shared" si="5"/>
        <v>4159</v>
      </c>
      <c r="Y13" s="121">
        <f t="shared" si="6"/>
        <v>5366</v>
      </c>
      <c r="Z13" s="122">
        <f t="shared" si="7"/>
        <v>3176</v>
      </c>
    </row>
    <row r="14" spans="1:26" s="749" customFormat="1" ht="12.75">
      <c r="A14" s="762" t="s">
        <v>23</v>
      </c>
      <c r="B14" s="763"/>
      <c r="C14" s="279"/>
      <c r="D14" s="279">
        <v>1481</v>
      </c>
      <c r="E14" s="279">
        <v>1031</v>
      </c>
      <c r="F14" s="279">
        <v>1078</v>
      </c>
      <c r="G14" s="764"/>
      <c r="H14" s="353"/>
      <c r="I14" s="280">
        <v>2006</v>
      </c>
      <c r="J14" s="280">
        <v>1296</v>
      </c>
      <c r="K14" s="831">
        <v>1253</v>
      </c>
      <c r="L14" s="1069"/>
      <c r="M14" s="1070"/>
      <c r="N14" s="1556">
        <v>0</v>
      </c>
      <c r="O14" s="1555">
        <v>677</v>
      </c>
      <c r="P14" s="1560">
        <v>146</v>
      </c>
      <c r="Q14" s="889"/>
      <c r="R14" s="740"/>
      <c r="S14" s="740">
        <v>0</v>
      </c>
      <c r="T14" s="740">
        <v>0</v>
      </c>
      <c r="U14" s="1565">
        <v>0</v>
      </c>
      <c r="V14" s="768"/>
      <c r="W14" s="121"/>
      <c r="X14" s="121">
        <f t="shared" si="5"/>
        <v>3487</v>
      </c>
      <c r="Y14" s="121">
        <f t="shared" si="6"/>
        <v>3004</v>
      </c>
      <c r="Z14" s="122">
        <f t="shared" si="7"/>
        <v>2477</v>
      </c>
    </row>
    <row r="15" spans="1:26" s="749" customFormat="1" ht="13.5" thickBot="1">
      <c r="A15" s="1205" t="s">
        <v>24</v>
      </c>
      <c r="B15" s="772"/>
      <c r="C15" s="1551"/>
      <c r="D15" s="279">
        <v>1328</v>
      </c>
      <c r="E15" s="279">
        <v>3169</v>
      </c>
      <c r="F15" s="279">
        <v>961</v>
      </c>
      <c r="G15" s="774"/>
      <c r="H15" s="385"/>
      <c r="I15" s="831">
        <v>1471</v>
      </c>
      <c r="J15" s="1552">
        <v>3231</v>
      </c>
      <c r="K15" s="831">
        <v>1870</v>
      </c>
      <c r="L15" s="1072"/>
      <c r="M15" s="1073"/>
      <c r="N15" s="1557">
        <v>0</v>
      </c>
      <c r="O15" s="1558">
        <v>433</v>
      </c>
      <c r="P15" s="1561">
        <v>265</v>
      </c>
      <c r="Q15" s="1217"/>
      <c r="R15" s="939"/>
      <c r="S15" s="939">
        <v>0</v>
      </c>
      <c r="T15" s="939">
        <v>0</v>
      </c>
      <c r="U15" s="1566">
        <v>0</v>
      </c>
      <c r="V15" s="874"/>
      <c r="W15" s="124"/>
      <c r="X15" s="124">
        <f t="shared" si="5"/>
        <v>2799</v>
      </c>
      <c r="Y15" s="124">
        <f t="shared" si="6"/>
        <v>6833</v>
      </c>
      <c r="Z15" s="125">
        <f t="shared" si="7"/>
        <v>3096</v>
      </c>
    </row>
    <row r="16" spans="1:26" s="789" customFormat="1" ht="12.75">
      <c r="A16" s="1325" t="s">
        <v>25</v>
      </c>
      <c r="B16" s="1089">
        <f>SUM(C16-D16)/D16</f>
        <v>-0.017072460956445823</v>
      </c>
      <c r="C16" s="782">
        <f>SUM(C4:C10)</f>
        <v>10133</v>
      </c>
      <c r="D16" s="782">
        <f>SUM(D4:D10)</f>
        <v>10309</v>
      </c>
      <c r="E16" s="782">
        <f>SUM(E4:E10)</f>
        <v>11270</v>
      </c>
      <c r="F16" s="782">
        <f>SUM(F4:F10)</f>
        <v>9312</v>
      </c>
      <c r="G16" s="875">
        <f>SUM(H16-I16)/I16</f>
        <v>-0.006697108066971081</v>
      </c>
      <c r="H16" s="782">
        <f>SUM(H4:H10)</f>
        <v>9789</v>
      </c>
      <c r="I16" s="782">
        <f>SUM(I4:I10)</f>
        <v>9855</v>
      </c>
      <c r="J16" s="782">
        <f>SUM(J4:J10)</f>
        <v>10109</v>
      </c>
      <c r="K16" s="782">
        <f>SUM(K4:K10)</f>
        <v>9396</v>
      </c>
      <c r="L16" s="875">
        <f>SUM(M16-N16)/N16</f>
        <v>-0.806999306999307</v>
      </c>
      <c r="M16" s="782">
        <f>SUM(M4:M10)</f>
        <v>557</v>
      </c>
      <c r="N16" s="782">
        <f>SUM(N4:N10)</f>
        <v>2886</v>
      </c>
      <c r="O16" s="782">
        <f>SUM(O4:O10)</f>
        <v>3430</v>
      </c>
      <c r="P16" s="782">
        <f>SUM(P4:P10)</f>
        <v>2267</v>
      </c>
      <c r="Q16" s="1050" t="e">
        <f>SUM(R16-S16)/S16</f>
        <v>#DIV/0!</v>
      </c>
      <c r="R16" s="782">
        <f>SUM(R4:R8)</f>
        <v>0</v>
      </c>
      <c r="S16" s="782">
        <f>SUM(S4:S8)</f>
        <v>0</v>
      </c>
      <c r="T16" s="782">
        <f>SUM(T4:T8)</f>
        <v>0</v>
      </c>
      <c r="U16" s="782">
        <f>SUM(U4:U8)</f>
        <v>0</v>
      </c>
      <c r="V16" s="1050">
        <f>SUM(W16-X16)/X16</f>
        <v>-0.11154013015184382</v>
      </c>
      <c r="W16" s="101">
        <f>+C16+H16+M16+R16</f>
        <v>20479</v>
      </c>
      <c r="X16" s="101">
        <f>+D16+I16+N16+S16</f>
        <v>23050</v>
      </c>
      <c r="Y16" s="101">
        <f>+E16+J16+O16+T16</f>
        <v>24809</v>
      </c>
      <c r="Z16" s="1567">
        <f>+F16+K16+P16+U16</f>
        <v>20975</v>
      </c>
    </row>
    <row r="17" spans="1:26" s="789" customFormat="1" ht="13.5" thickBot="1">
      <c r="A17" s="1326" t="s">
        <v>28</v>
      </c>
      <c r="B17" s="1090">
        <f>SUM(C17-D17)/D17</f>
        <v>-0.07704919277099287</v>
      </c>
      <c r="C17" s="785">
        <f>AVERAGE(C4:C15)</f>
        <v>1447.5714285714287</v>
      </c>
      <c r="D17" s="785">
        <f>AVERAGE(D4:D15)</f>
        <v>1568.4166666666667</v>
      </c>
      <c r="E17" s="785">
        <f>AVERAGE(E4:E15)</f>
        <v>1817.0833333333333</v>
      </c>
      <c r="F17" s="786">
        <f>AVERAGE(F4:F15)</f>
        <v>1390.4166666666667</v>
      </c>
      <c r="G17" s="878">
        <f>SUM(H17-I17)/I17</f>
        <v>-0.0966709987003899</v>
      </c>
      <c r="H17" s="785">
        <f>AVERAGE(H4:H15)</f>
        <v>1398.4285714285713</v>
      </c>
      <c r="I17" s="785">
        <f>AVERAGE(I4:I15)</f>
        <v>1548.0833333333333</v>
      </c>
      <c r="J17" s="785">
        <f>AVERAGE(J4:J15)</f>
        <v>1728.5833333333333</v>
      </c>
      <c r="K17" s="786">
        <f>AVERAGE(K4:K15)</f>
        <v>1374.3333333333333</v>
      </c>
      <c r="L17" s="878">
        <f>SUM(M17-N17)/N17</f>
        <v>-0.6919815668202766</v>
      </c>
      <c r="M17" s="785">
        <f>AVERAGE(M4:M15)</f>
        <v>79.57142857142857</v>
      </c>
      <c r="N17" s="785">
        <f>AVERAGE(N4:N15)</f>
        <v>258.3333333333333</v>
      </c>
      <c r="O17" s="785">
        <f>AVERAGE(O4:O15)</f>
        <v>514.0833333333334</v>
      </c>
      <c r="P17" s="1086">
        <f>AVERAGE(P4:P15)</f>
        <v>309</v>
      </c>
      <c r="Q17" s="878" t="e">
        <f>SUM(R17-S17)/S17</f>
        <v>#DIV/0!</v>
      </c>
      <c r="R17" s="785">
        <f>AVERAGE(R4:R15)</f>
        <v>0</v>
      </c>
      <c r="S17" s="785">
        <f>AVERAGE(S4:S15)</f>
        <v>0</v>
      </c>
      <c r="T17" s="785">
        <f>AVERAGE(T4:T15)</f>
        <v>0</v>
      </c>
      <c r="U17" s="786">
        <f>AVERAGE(U4:U15)</f>
        <v>0</v>
      </c>
      <c r="V17" s="878">
        <f>SUM(W17-X17)/X17</f>
        <v>-0.13312121233500074</v>
      </c>
      <c r="W17" s="785">
        <f>AVERAGE(W4:W15)</f>
        <v>2925.5714285714284</v>
      </c>
      <c r="X17" s="785">
        <f>AVERAGE(X4:X15)</f>
        <v>3374.8333333333335</v>
      </c>
      <c r="Y17" s="785">
        <f>AVERAGE(Y4:Y15)</f>
        <v>4059.75</v>
      </c>
      <c r="Z17" s="786">
        <f>AVERAGE(Z4:Z15)</f>
        <v>3073.75</v>
      </c>
    </row>
  </sheetData>
  <mergeCells count="8">
    <mergeCell ref="A1:A2"/>
    <mergeCell ref="B1:E1"/>
    <mergeCell ref="X1:Z1"/>
    <mergeCell ref="B3:F3"/>
    <mergeCell ref="G3:K3"/>
    <mergeCell ref="L3:P3"/>
    <mergeCell ref="Q3:U3"/>
    <mergeCell ref="V3:Z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9"/>
  <sheetViews>
    <sheetView workbookViewId="0" topLeftCell="AB1">
      <selection activeCell="B20" sqref="B20"/>
    </sheetView>
  </sheetViews>
  <sheetFormatPr defaultColWidth="9.140625" defaultRowHeight="12.75"/>
  <cols>
    <col min="1" max="1" width="19.140625" style="0" customWidth="1"/>
    <col min="2" max="2" width="7.00390625" style="270" bestFit="1" customWidth="1"/>
    <col min="3" max="8" width="7.7109375" style="0" customWidth="1"/>
    <col min="9" max="9" width="7.00390625" style="270" bestFit="1" customWidth="1"/>
    <col min="10" max="15" width="7.7109375" style="0" customWidth="1"/>
    <col min="16" max="16" width="7.00390625" style="0" bestFit="1" customWidth="1"/>
    <col min="17" max="20" width="6.57421875" style="0" customWidth="1"/>
    <col min="21" max="21" width="6.57421875" style="0" bestFit="1" customWidth="1"/>
    <col min="22" max="22" width="6.57421875" style="0" customWidth="1"/>
    <col min="23" max="23" width="7.00390625" style="270" bestFit="1" customWidth="1"/>
    <col min="24" max="29" width="6.8515625" style="0" customWidth="1"/>
    <col min="30" max="30" width="7.00390625" style="270" bestFit="1" customWidth="1"/>
    <col min="31" max="36" width="7.7109375" style="0" customWidth="1"/>
  </cols>
  <sheetData>
    <row r="1" spans="1:36" ht="13.5" thickBot="1">
      <c r="A1" s="1901" t="s">
        <v>152</v>
      </c>
      <c r="B1" s="1933"/>
      <c r="C1" s="1883"/>
      <c r="D1" s="1883"/>
      <c r="E1" s="1883"/>
      <c r="F1" s="1883"/>
      <c r="G1" s="1883"/>
      <c r="H1" s="1883"/>
      <c r="I1" s="1883"/>
      <c r="J1" s="1883"/>
      <c r="K1" s="1883"/>
      <c r="L1" s="1883"/>
      <c r="M1" s="1883"/>
      <c r="N1" s="1883"/>
      <c r="O1" s="1883"/>
      <c r="P1" s="1904"/>
      <c r="Q1" s="1904"/>
      <c r="R1" s="1904"/>
      <c r="S1" s="1904"/>
      <c r="T1" s="1904"/>
      <c r="U1" s="1904"/>
      <c r="V1" s="1904"/>
      <c r="W1" s="1904"/>
      <c r="X1" s="1904"/>
      <c r="Y1" s="1904"/>
      <c r="Z1" s="1904"/>
      <c r="AA1" s="1904"/>
      <c r="AB1" s="1904"/>
      <c r="AC1" s="1904"/>
      <c r="AD1" s="1904"/>
      <c r="AE1" s="1904"/>
      <c r="AF1" s="1904"/>
      <c r="AG1" s="1904"/>
      <c r="AH1" s="1904"/>
      <c r="AI1" s="1904"/>
      <c r="AJ1" s="1934"/>
    </row>
    <row r="2" spans="1:36" ht="13.5" thickBot="1">
      <c r="A2" s="1902"/>
      <c r="B2" s="663" t="s">
        <v>44</v>
      </c>
      <c r="C2" s="694">
        <v>2008</v>
      </c>
      <c r="D2" s="694">
        <v>2007</v>
      </c>
      <c r="E2" s="466">
        <v>2006</v>
      </c>
      <c r="F2" s="466">
        <v>2005</v>
      </c>
      <c r="G2" s="466">
        <v>2004</v>
      </c>
      <c r="H2" s="695">
        <v>2003</v>
      </c>
      <c r="I2" s="117" t="s">
        <v>44</v>
      </c>
      <c r="J2" s="80">
        <v>2008</v>
      </c>
      <c r="K2" s="80">
        <v>2007</v>
      </c>
      <c r="L2" s="112">
        <v>2006</v>
      </c>
      <c r="M2" s="112">
        <v>2005</v>
      </c>
      <c r="N2" s="112">
        <v>2004</v>
      </c>
      <c r="O2" s="113">
        <v>2003</v>
      </c>
      <c r="P2" s="176" t="s">
        <v>44</v>
      </c>
      <c r="Q2" s="177">
        <v>2008</v>
      </c>
      <c r="R2" s="177">
        <v>2007</v>
      </c>
      <c r="S2" s="177">
        <v>2006</v>
      </c>
      <c r="T2" s="177">
        <v>2005</v>
      </c>
      <c r="U2" s="177">
        <v>2004</v>
      </c>
      <c r="V2" s="177">
        <v>2003</v>
      </c>
      <c r="W2" s="257" t="s">
        <v>44</v>
      </c>
      <c r="X2" s="693">
        <v>2008</v>
      </c>
      <c r="Y2" s="693">
        <v>2007</v>
      </c>
      <c r="Z2" s="258">
        <v>2006</v>
      </c>
      <c r="AA2" s="259">
        <v>2005</v>
      </c>
      <c r="AB2" s="259">
        <v>2004</v>
      </c>
      <c r="AC2" s="287">
        <v>2003</v>
      </c>
      <c r="AD2" s="261" t="s">
        <v>44</v>
      </c>
      <c r="AE2" s="708">
        <v>2008</v>
      </c>
      <c r="AF2" s="708">
        <v>2007</v>
      </c>
      <c r="AG2" s="156">
        <v>2006</v>
      </c>
      <c r="AH2" s="156">
        <v>2005</v>
      </c>
      <c r="AI2" s="156">
        <v>2004</v>
      </c>
      <c r="AJ2" s="157">
        <v>2003</v>
      </c>
    </row>
    <row r="3" spans="1:36" ht="13.5" thickBot="1">
      <c r="A3" s="309"/>
      <c r="B3" s="1891" t="s">
        <v>100</v>
      </c>
      <c r="C3" s="1892"/>
      <c r="D3" s="1892"/>
      <c r="E3" s="1892"/>
      <c r="F3" s="1892"/>
      <c r="G3" s="1892"/>
      <c r="H3" s="1892"/>
      <c r="I3" s="1890" t="s">
        <v>69</v>
      </c>
      <c r="J3" s="1896"/>
      <c r="K3" s="1896"/>
      <c r="L3" s="1896"/>
      <c r="M3" s="1896"/>
      <c r="N3" s="1896"/>
      <c r="O3" s="1879"/>
      <c r="P3" s="1893" t="s">
        <v>71</v>
      </c>
      <c r="Q3" s="1884"/>
      <c r="R3" s="1884"/>
      <c r="S3" s="1884"/>
      <c r="T3" s="1872"/>
      <c r="U3" s="1872"/>
      <c r="V3" s="1873"/>
      <c r="W3" s="1890" t="s">
        <v>49</v>
      </c>
      <c r="X3" s="1896"/>
      <c r="Y3" s="1896"/>
      <c r="Z3" s="1896"/>
      <c r="AA3" s="1896"/>
      <c r="AB3" s="1896"/>
      <c r="AC3" s="1879"/>
      <c r="AD3" s="1930" t="s">
        <v>116</v>
      </c>
      <c r="AE3" s="1931"/>
      <c r="AF3" s="1931"/>
      <c r="AG3" s="1931"/>
      <c r="AH3" s="1931"/>
      <c r="AI3" s="1931"/>
      <c r="AJ3" s="1932"/>
    </row>
    <row r="4" spans="1:36" ht="12.75">
      <c r="A4" s="750" t="s">
        <v>13</v>
      </c>
      <c r="B4" s="209">
        <f>SUM(C4-D4)/D4</f>
        <v>-0.209106239460371</v>
      </c>
      <c r="C4" s="483">
        <v>11256</v>
      </c>
      <c r="D4" s="557">
        <v>14232</v>
      </c>
      <c r="E4" s="698">
        <v>15330</v>
      </c>
      <c r="F4" s="697">
        <v>14889</v>
      </c>
      <c r="G4" s="697">
        <v>14728</v>
      </c>
      <c r="H4" s="699">
        <v>14330</v>
      </c>
      <c r="I4" s="141">
        <f>SUM(J4-K4)/K4</f>
        <v>-0.13282059673812252</v>
      </c>
      <c r="J4" s="794">
        <v>15898</v>
      </c>
      <c r="K4" s="721">
        <v>18333</v>
      </c>
      <c r="L4" s="701">
        <v>18234</v>
      </c>
      <c r="M4" s="701">
        <v>19413</v>
      </c>
      <c r="N4" s="700">
        <v>17836</v>
      </c>
      <c r="O4" s="702">
        <v>18169</v>
      </c>
      <c r="P4" s="213">
        <f>SUM(Q4-R4)/R4</f>
        <v>-0.16615998771687396</v>
      </c>
      <c r="Q4" s="179">
        <f>+C4+J4</f>
        <v>27154</v>
      </c>
      <c r="R4" s="179">
        <f>+D4+K4</f>
        <v>32565</v>
      </c>
      <c r="S4" s="179">
        <f aca="true" t="shared" si="0" ref="S4:S15">+E4+L4</f>
        <v>33564</v>
      </c>
      <c r="T4" s="179">
        <f aca="true" t="shared" si="1" ref="T4:T15">+F4+M4</f>
        <v>34302</v>
      </c>
      <c r="U4" s="179">
        <f aca="true" t="shared" si="2" ref="U4:U15">+G4+N4</f>
        <v>32564</v>
      </c>
      <c r="V4" s="722">
        <f aca="true" t="shared" si="3" ref="V4:V15">+H4+O4</f>
        <v>32499</v>
      </c>
      <c r="W4" s="143">
        <f>SUM(X4-Y4)/Y4</f>
        <v>-0.06753294289897512</v>
      </c>
      <c r="X4" s="196">
        <v>5095</v>
      </c>
      <c r="Y4" s="559">
        <v>5464</v>
      </c>
      <c r="Z4" s="724">
        <v>7476</v>
      </c>
      <c r="AA4" s="724">
        <v>5184</v>
      </c>
      <c r="AB4" s="725">
        <v>5781</v>
      </c>
      <c r="AC4" s="726">
        <v>5487</v>
      </c>
      <c r="AD4" s="175">
        <f>SUM(AE4-AF4)/AF4</f>
        <v>-0.15198927134555207</v>
      </c>
      <c r="AE4" s="687">
        <f>+Q4+X4</f>
        <v>32249</v>
      </c>
      <c r="AF4" s="687">
        <f>+R4+Y4</f>
        <v>38029</v>
      </c>
      <c r="AG4" s="687">
        <f aca="true" t="shared" si="4" ref="AG4:AG15">+S4+Z4</f>
        <v>41040</v>
      </c>
      <c r="AH4" s="687">
        <f aca="true" t="shared" si="5" ref="AH4:AH15">+T4+AA4</f>
        <v>39486</v>
      </c>
      <c r="AI4" s="687">
        <f aca="true" t="shared" si="6" ref="AI4:AI15">+U4+AB4</f>
        <v>38345</v>
      </c>
      <c r="AJ4" s="688">
        <f aca="true" t="shared" si="7" ref="AJ4:AJ15">+V4+AC4</f>
        <v>37986</v>
      </c>
    </row>
    <row r="5" spans="1:36" ht="12.75">
      <c r="A5" s="762" t="s">
        <v>14</v>
      </c>
      <c r="B5" s="218"/>
      <c r="C5" s="265"/>
      <c r="D5" s="228">
        <v>14750</v>
      </c>
      <c r="E5" s="279">
        <v>13984</v>
      </c>
      <c r="F5" s="703">
        <v>15155</v>
      </c>
      <c r="G5" s="703">
        <v>17036</v>
      </c>
      <c r="H5" s="704">
        <v>15144</v>
      </c>
      <c r="I5" s="119"/>
      <c r="J5" s="38"/>
      <c r="K5" s="230">
        <v>17560</v>
      </c>
      <c r="L5" s="280">
        <v>17943</v>
      </c>
      <c r="M5" s="280">
        <v>17692</v>
      </c>
      <c r="N5" s="705">
        <v>18949</v>
      </c>
      <c r="O5" s="706">
        <v>18683</v>
      </c>
      <c r="P5" s="220"/>
      <c r="Q5" s="231"/>
      <c r="R5" s="180">
        <f aca="true" t="shared" si="8" ref="R5:R11">+D5+K5</f>
        <v>32310</v>
      </c>
      <c r="S5" s="180">
        <f t="shared" si="0"/>
        <v>31927</v>
      </c>
      <c r="T5" s="180">
        <f t="shared" si="1"/>
        <v>32847</v>
      </c>
      <c r="U5" s="180">
        <f t="shared" si="2"/>
        <v>35985</v>
      </c>
      <c r="V5" s="181">
        <f t="shared" si="3"/>
        <v>33827</v>
      </c>
      <c r="W5" s="132"/>
      <c r="X5" s="829"/>
      <c r="Y5" s="255">
        <v>4310</v>
      </c>
      <c r="Z5" s="281">
        <v>6661</v>
      </c>
      <c r="AA5" s="281">
        <v>6475</v>
      </c>
      <c r="AB5" s="682">
        <v>5854</v>
      </c>
      <c r="AC5" s="727">
        <v>5259</v>
      </c>
      <c r="AD5" s="120"/>
      <c r="AE5" s="263"/>
      <c r="AF5" s="689">
        <f aca="true" t="shared" si="9" ref="AF5:AF11">+R5+Y5</f>
        <v>36620</v>
      </c>
      <c r="AG5" s="689">
        <f t="shared" si="4"/>
        <v>38588</v>
      </c>
      <c r="AH5" s="689">
        <f t="shared" si="5"/>
        <v>39322</v>
      </c>
      <c r="AI5" s="689">
        <f t="shared" si="6"/>
        <v>41839</v>
      </c>
      <c r="AJ5" s="690">
        <f t="shared" si="7"/>
        <v>39086</v>
      </c>
    </row>
    <row r="6" spans="1:36" ht="12.75">
      <c r="A6" s="762" t="s">
        <v>15</v>
      </c>
      <c r="B6" s="218"/>
      <c r="C6" s="223"/>
      <c r="D6" s="228">
        <v>18078</v>
      </c>
      <c r="E6" s="279">
        <v>19320</v>
      </c>
      <c r="F6" s="703">
        <v>16380</v>
      </c>
      <c r="G6" s="703">
        <v>17258</v>
      </c>
      <c r="H6" s="704">
        <v>21580</v>
      </c>
      <c r="I6" s="119"/>
      <c r="J6" s="123"/>
      <c r="K6" s="230">
        <v>19573</v>
      </c>
      <c r="L6" s="280">
        <v>21910</v>
      </c>
      <c r="M6" s="280">
        <v>18628</v>
      </c>
      <c r="N6" s="705">
        <v>19739</v>
      </c>
      <c r="O6" s="706">
        <v>23540</v>
      </c>
      <c r="P6" s="220"/>
      <c r="Q6" s="231"/>
      <c r="R6" s="180">
        <f t="shared" si="8"/>
        <v>37651</v>
      </c>
      <c r="S6" s="180">
        <f t="shared" si="0"/>
        <v>41230</v>
      </c>
      <c r="T6" s="180">
        <f t="shared" si="1"/>
        <v>35008</v>
      </c>
      <c r="U6" s="180">
        <f t="shared" si="2"/>
        <v>36997</v>
      </c>
      <c r="V6" s="181">
        <f t="shared" si="3"/>
        <v>45120</v>
      </c>
      <c r="W6" s="132"/>
      <c r="X6" s="222"/>
      <c r="Y6" s="255">
        <v>7138</v>
      </c>
      <c r="Z6" s="281">
        <v>7403</v>
      </c>
      <c r="AA6" s="281">
        <v>6921</v>
      </c>
      <c r="AB6" s="682">
        <v>6758</v>
      </c>
      <c r="AC6" s="727">
        <v>7365</v>
      </c>
      <c r="AD6" s="120"/>
      <c r="AE6" s="263"/>
      <c r="AF6" s="689">
        <f t="shared" si="9"/>
        <v>44789</v>
      </c>
      <c r="AG6" s="689">
        <f t="shared" si="4"/>
        <v>48633</v>
      </c>
      <c r="AH6" s="689">
        <f t="shared" si="5"/>
        <v>41929</v>
      </c>
      <c r="AI6" s="689">
        <f t="shared" si="6"/>
        <v>43755</v>
      </c>
      <c r="AJ6" s="690">
        <f t="shared" si="7"/>
        <v>52485</v>
      </c>
    </row>
    <row r="7" spans="1:36" ht="12.75">
      <c r="A7" s="762" t="s">
        <v>16</v>
      </c>
      <c r="B7" s="218"/>
      <c r="C7" s="223"/>
      <c r="D7" s="228">
        <v>15493</v>
      </c>
      <c r="E7" s="279">
        <v>19051</v>
      </c>
      <c r="F7" s="703">
        <v>19399</v>
      </c>
      <c r="G7" s="703">
        <v>16344</v>
      </c>
      <c r="H7" s="704">
        <v>18315</v>
      </c>
      <c r="I7" s="119"/>
      <c r="J7" s="123"/>
      <c r="K7" s="230">
        <v>20618</v>
      </c>
      <c r="L7" s="280">
        <v>20265</v>
      </c>
      <c r="M7" s="280">
        <v>21342</v>
      </c>
      <c r="N7" s="705">
        <v>21817</v>
      </c>
      <c r="O7" s="706">
        <v>19376</v>
      </c>
      <c r="P7" s="220"/>
      <c r="Q7" s="231"/>
      <c r="R7" s="180">
        <f t="shared" si="8"/>
        <v>36111</v>
      </c>
      <c r="S7" s="180">
        <f t="shared" si="0"/>
        <v>39316</v>
      </c>
      <c r="T7" s="180">
        <f t="shared" si="1"/>
        <v>40741</v>
      </c>
      <c r="U7" s="180">
        <f t="shared" si="2"/>
        <v>38161</v>
      </c>
      <c r="V7" s="181">
        <f t="shared" si="3"/>
        <v>37691</v>
      </c>
      <c r="W7" s="132"/>
      <c r="X7" s="222"/>
      <c r="Y7" s="255">
        <v>8031</v>
      </c>
      <c r="Z7" s="281">
        <v>4858</v>
      </c>
      <c r="AA7" s="281">
        <v>8101</v>
      </c>
      <c r="AB7" s="682">
        <v>7749</v>
      </c>
      <c r="AC7" s="727">
        <v>7065</v>
      </c>
      <c r="AD7" s="120"/>
      <c r="AE7" s="263"/>
      <c r="AF7" s="689">
        <f t="shared" si="9"/>
        <v>44142</v>
      </c>
      <c r="AG7" s="689">
        <f t="shared" si="4"/>
        <v>44174</v>
      </c>
      <c r="AH7" s="689">
        <f t="shared" si="5"/>
        <v>48842</v>
      </c>
      <c r="AI7" s="689">
        <f t="shared" si="6"/>
        <v>45910</v>
      </c>
      <c r="AJ7" s="690">
        <f t="shared" si="7"/>
        <v>44756</v>
      </c>
    </row>
    <row r="8" spans="1:36" ht="12.75">
      <c r="A8" s="762" t="s">
        <v>17</v>
      </c>
      <c r="B8" s="218"/>
      <c r="C8" s="223"/>
      <c r="D8" s="228">
        <v>13955</v>
      </c>
      <c r="E8" s="279">
        <v>18351</v>
      </c>
      <c r="F8" s="703">
        <v>18138</v>
      </c>
      <c r="G8" s="703">
        <v>18751</v>
      </c>
      <c r="H8" s="704">
        <v>20080</v>
      </c>
      <c r="I8" s="119"/>
      <c r="J8" s="123"/>
      <c r="K8" s="230">
        <v>20165</v>
      </c>
      <c r="L8" s="280">
        <v>18840</v>
      </c>
      <c r="M8" s="280">
        <v>21656</v>
      </c>
      <c r="N8" s="705">
        <v>23123</v>
      </c>
      <c r="O8" s="706">
        <v>23557</v>
      </c>
      <c r="P8" s="220"/>
      <c r="Q8" s="180"/>
      <c r="R8" s="180">
        <f t="shared" si="8"/>
        <v>34120</v>
      </c>
      <c r="S8" s="180">
        <f t="shared" si="0"/>
        <v>37191</v>
      </c>
      <c r="T8" s="180">
        <f t="shared" si="1"/>
        <v>39794</v>
      </c>
      <c r="U8" s="180">
        <f t="shared" si="2"/>
        <v>41874</v>
      </c>
      <c r="V8" s="181">
        <f t="shared" si="3"/>
        <v>43637</v>
      </c>
      <c r="W8" s="132"/>
      <c r="X8" s="222"/>
      <c r="Y8" s="255">
        <v>5015</v>
      </c>
      <c r="Z8" s="281">
        <v>6940</v>
      </c>
      <c r="AA8" s="281">
        <v>6366</v>
      </c>
      <c r="AB8" s="682">
        <v>8221</v>
      </c>
      <c r="AC8" s="727">
        <v>8562</v>
      </c>
      <c r="AD8" s="120"/>
      <c r="AE8" s="263"/>
      <c r="AF8" s="689">
        <f t="shared" si="9"/>
        <v>39135</v>
      </c>
      <c r="AG8" s="689">
        <f t="shared" si="4"/>
        <v>44131</v>
      </c>
      <c r="AH8" s="689">
        <f t="shared" si="5"/>
        <v>46160</v>
      </c>
      <c r="AI8" s="689">
        <f t="shared" si="6"/>
        <v>50095</v>
      </c>
      <c r="AJ8" s="690">
        <f t="shared" si="7"/>
        <v>52199</v>
      </c>
    </row>
    <row r="9" spans="1:36" ht="12.75">
      <c r="A9" s="762" t="s">
        <v>18</v>
      </c>
      <c r="B9" s="218"/>
      <c r="C9" s="265"/>
      <c r="D9" s="228">
        <v>15071</v>
      </c>
      <c r="E9" s="703">
        <v>18369</v>
      </c>
      <c r="F9" s="703">
        <v>16192</v>
      </c>
      <c r="G9" s="703">
        <v>17193</v>
      </c>
      <c r="H9" s="704">
        <v>19145</v>
      </c>
      <c r="I9" s="119"/>
      <c r="J9" s="38"/>
      <c r="K9" s="230">
        <v>19335</v>
      </c>
      <c r="L9" s="705">
        <v>20327</v>
      </c>
      <c r="M9" s="705">
        <v>21058</v>
      </c>
      <c r="N9" s="705">
        <v>22152</v>
      </c>
      <c r="O9" s="706">
        <v>19359</v>
      </c>
      <c r="P9" s="220"/>
      <c r="Q9" s="180"/>
      <c r="R9" s="180">
        <f t="shared" si="8"/>
        <v>34406</v>
      </c>
      <c r="S9" s="180">
        <f t="shared" si="0"/>
        <v>38696</v>
      </c>
      <c r="T9" s="180">
        <f t="shared" si="1"/>
        <v>37250</v>
      </c>
      <c r="U9" s="180">
        <f t="shared" si="2"/>
        <v>39345</v>
      </c>
      <c r="V9" s="181">
        <f t="shared" si="3"/>
        <v>38504</v>
      </c>
      <c r="W9" s="132"/>
      <c r="X9" s="274"/>
      <c r="Y9" s="255">
        <v>5351</v>
      </c>
      <c r="Z9" s="682">
        <v>7746</v>
      </c>
      <c r="AA9" s="682">
        <v>8533</v>
      </c>
      <c r="AB9" s="682">
        <v>8120</v>
      </c>
      <c r="AC9" s="727">
        <v>7702</v>
      </c>
      <c r="AD9" s="120"/>
      <c r="AE9" s="263"/>
      <c r="AF9" s="689">
        <f t="shared" si="9"/>
        <v>39757</v>
      </c>
      <c r="AG9" s="689">
        <f t="shared" si="4"/>
        <v>46442</v>
      </c>
      <c r="AH9" s="689">
        <f t="shared" si="5"/>
        <v>45783</v>
      </c>
      <c r="AI9" s="689">
        <f t="shared" si="6"/>
        <v>47465</v>
      </c>
      <c r="AJ9" s="690">
        <f t="shared" si="7"/>
        <v>46206</v>
      </c>
    </row>
    <row r="10" spans="1:36" ht="12.75">
      <c r="A10" s="762" t="s">
        <v>19</v>
      </c>
      <c r="B10" s="218"/>
      <c r="C10" s="265"/>
      <c r="D10" s="228">
        <v>16303</v>
      </c>
      <c r="E10" s="703">
        <v>19693</v>
      </c>
      <c r="F10" s="703">
        <v>20006</v>
      </c>
      <c r="G10" s="703">
        <v>18423</v>
      </c>
      <c r="H10" s="704">
        <v>20116</v>
      </c>
      <c r="I10" s="119"/>
      <c r="J10" s="38"/>
      <c r="K10" s="230">
        <v>20569</v>
      </c>
      <c r="L10" s="705">
        <v>21238</v>
      </c>
      <c r="M10" s="705">
        <v>21272</v>
      </c>
      <c r="N10" s="705">
        <v>20365</v>
      </c>
      <c r="O10" s="706">
        <v>19359</v>
      </c>
      <c r="P10" s="220"/>
      <c r="Q10" s="180"/>
      <c r="R10" s="180">
        <f t="shared" si="8"/>
        <v>36872</v>
      </c>
      <c r="S10" s="180">
        <f t="shared" si="0"/>
        <v>40931</v>
      </c>
      <c r="T10" s="180">
        <f t="shared" si="1"/>
        <v>41278</v>
      </c>
      <c r="U10" s="180">
        <f t="shared" si="2"/>
        <v>38788</v>
      </c>
      <c r="V10" s="181">
        <f t="shared" si="3"/>
        <v>39475</v>
      </c>
      <c r="W10" s="132"/>
      <c r="X10" s="274"/>
      <c r="Y10" s="255">
        <v>6630</v>
      </c>
      <c r="Z10" s="682">
        <v>7949</v>
      </c>
      <c r="AA10" s="682">
        <v>9403</v>
      </c>
      <c r="AB10" s="682">
        <v>8290</v>
      </c>
      <c r="AC10" s="727">
        <v>7065</v>
      </c>
      <c r="AD10" s="120"/>
      <c r="AE10" s="263"/>
      <c r="AF10" s="689">
        <f t="shared" si="9"/>
        <v>43502</v>
      </c>
      <c r="AG10" s="689">
        <f t="shared" si="4"/>
        <v>48880</v>
      </c>
      <c r="AH10" s="689">
        <f t="shared" si="5"/>
        <v>50681</v>
      </c>
      <c r="AI10" s="689">
        <f t="shared" si="6"/>
        <v>47078</v>
      </c>
      <c r="AJ10" s="690">
        <f t="shared" si="7"/>
        <v>46540</v>
      </c>
    </row>
    <row r="11" spans="1:36" ht="12.75">
      <c r="A11" s="762" t="s">
        <v>20</v>
      </c>
      <c r="B11" s="218"/>
      <c r="C11" s="265"/>
      <c r="D11" s="228">
        <v>15280</v>
      </c>
      <c r="E11" s="703">
        <v>18095</v>
      </c>
      <c r="F11" s="703">
        <v>17362</v>
      </c>
      <c r="G11" s="703">
        <v>15268</v>
      </c>
      <c r="H11" s="704">
        <v>19986</v>
      </c>
      <c r="I11" s="119"/>
      <c r="J11" s="38"/>
      <c r="K11" s="230">
        <v>19400</v>
      </c>
      <c r="L11" s="705">
        <v>21374</v>
      </c>
      <c r="M11" s="705">
        <v>21588</v>
      </c>
      <c r="N11" s="705">
        <v>17588</v>
      </c>
      <c r="O11" s="706">
        <v>21368</v>
      </c>
      <c r="P11" s="220"/>
      <c r="Q11" s="180"/>
      <c r="R11" s="180">
        <f t="shared" si="8"/>
        <v>34680</v>
      </c>
      <c r="S11" s="180">
        <f t="shared" si="0"/>
        <v>39469</v>
      </c>
      <c r="T11" s="180">
        <f t="shared" si="1"/>
        <v>38950</v>
      </c>
      <c r="U11" s="180">
        <f t="shared" si="2"/>
        <v>32856</v>
      </c>
      <c r="V11" s="181">
        <f t="shared" si="3"/>
        <v>41354</v>
      </c>
      <c r="W11" s="132"/>
      <c r="X11" s="274"/>
      <c r="Y11" s="255">
        <v>5742</v>
      </c>
      <c r="Z11" s="682">
        <v>6302</v>
      </c>
      <c r="AA11" s="682">
        <v>8056</v>
      </c>
      <c r="AB11" s="682">
        <v>7486</v>
      </c>
      <c r="AC11" s="727">
        <v>7446</v>
      </c>
      <c r="AD11" s="120"/>
      <c r="AE11" s="263"/>
      <c r="AF11" s="689">
        <f t="shared" si="9"/>
        <v>40422</v>
      </c>
      <c r="AG11" s="689">
        <f t="shared" si="4"/>
        <v>45771</v>
      </c>
      <c r="AH11" s="689">
        <f t="shared" si="5"/>
        <v>47006</v>
      </c>
      <c r="AI11" s="689">
        <f t="shared" si="6"/>
        <v>40342</v>
      </c>
      <c r="AJ11" s="690">
        <f t="shared" si="7"/>
        <v>48800</v>
      </c>
    </row>
    <row r="12" spans="1:36" ht="12.75">
      <c r="A12" s="762" t="s">
        <v>21</v>
      </c>
      <c r="B12" s="218"/>
      <c r="C12" s="265"/>
      <c r="D12" s="228">
        <v>14882</v>
      </c>
      <c r="E12" s="703">
        <v>17907</v>
      </c>
      <c r="F12" s="703">
        <v>17198</v>
      </c>
      <c r="G12" s="703">
        <v>14656</v>
      </c>
      <c r="H12" s="704">
        <v>16411</v>
      </c>
      <c r="I12" s="119"/>
      <c r="J12" s="38"/>
      <c r="K12" s="230">
        <v>20030</v>
      </c>
      <c r="L12" s="705">
        <v>19022</v>
      </c>
      <c r="M12" s="705">
        <v>19306</v>
      </c>
      <c r="N12" s="705">
        <v>17970</v>
      </c>
      <c r="O12" s="706">
        <v>17406</v>
      </c>
      <c r="P12" s="220"/>
      <c r="Q12" s="180"/>
      <c r="R12" s="180">
        <f>+D12+K12</f>
        <v>34912</v>
      </c>
      <c r="S12" s="180">
        <f t="shared" si="0"/>
        <v>36929</v>
      </c>
      <c r="T12" s="180">
        <f t="shared" si="1"/>
        <v>36504</v>
      </c>
      <c r="U12" s="180">
        <f t="shared" si="2"/>
        <v>32626</v>
      </c>
      <c r="V12" s="181">
        <f t="shared" si="3"/>
        <v>33817</v>
      </c>
      <c r="W12" s="132"/>
      <c r="X12" s="274"/>
      <c r="Y12" s="255">
        <v>5968</v>
      </c>
      <c r="Z12" s="682">
        <v>6310</v>
      </c>
      <c r="AA12" s="682">
        <v>7252</v>
      </c>
      <c r="AB12" s="682">
        <v>7182</v>
      </c>
      <c r="AC12" s="727">
        <v>5926</v>
      </c>
      <c r="AD12" s="120"/>
      <c r="AE12" s="263"/>
      <c r="AF12" s="689">
        <f>+R12+Y12</f>
        <v>40880</v>
      </c>
      <c r="AG12" s="689">
        <f t="shared" si="4"/>
        <v>43239</v>
      </c>
      <c r="AH12" s="689">
        <f t="shared" si="5"/>
        <v>43756</v>
      </c>
      <c r="AI12" s="689">
        <f t="shared" si="6"/>
        <v>39808</v>
      </c>
      <c r="AJ12" s="690">
        <f t="shared" si="7"/>
        <v>39743</v>
      </c>
    </row>
    <row r="13" spans="1:36" ht="12.75">
      <c r="A13" s="762" t="s">
        <v>22</v>
      </c>
      <c r="B13" s="218"/>
      <c r="C13" s="265"/>
      <c r="D13" s="703">
        <v>14663</v>
      </c>
      <c r="E13" s="703">
        <v>18751</v>
      </c>
      <c r="F13" s="703">
        <v>21473</v>
      </c>
      <c r="G13" s="703">
        <v>19229</v>
      </c>
      <c r="H13" s="704">
        <v>19235</v>
      </c>
      <c r="I13" s="119"/>
      <c r="J13" s="38"/>
      <c r="K13" s="705">
        <v>18965</v>
      </c>
      <c r="L13" s="705">
        <v>19926</v>
      </c>
      <c r="M13" s="705">
        <v>23100</v>
      </c>
      <c r="N13" s="705">
        <v>21014</v>
      </c>
      <c r="O13" s="706">
        <v>19470</v>
      </c>
      <c r="P13" s="220"/>
      <c r="Q13" s="180"/>
      <c r="R13" s="180">
        <f>+D13+K13</f>
        <v>33628</v>
      </c>
      <c r="S13" s="180">
        <f t="shared" si="0"/>
        <v>38677</v>
      </c>
      <c r="T13" s="180">
        <f t="shared" si="1"/>
        <v>44573</v>
      </c>
      <c r="U13" s="180">
        <f t="shared" si="2"/>
        <v>40243</v>
      </c>
      <c r="V13" s="181">
        <f t="shared" si="3"/>
        <v>38705</v>
      </c>
      <c r="W13" s="132"/>
      <c r="X13" s="274"/>
      <c r="Y13" s="682">
        <v>4633</v>
      </c>
      <c r="Z13" s="682">
        <v>6611</v>
      </c>
      <c r="AA13" s="682">
        <v>7666</v>
      </c>
      <c r="AB13" s="682">
        <v>5991</v>
      </c>
      <c r="AC13" s="727">
        <v>6510</v>
      </c>
      <c r="AD13" s="120"/>
      <c r="AE13" s="263"/>
      <c r="AF13" s="689">
        <f>+R13+Y13</f>
        <v>38261</v>
      </c>
      <c r="AG13" s="689">
        <f t="shared" si="4"/>
        <v>45288</v>
      </c>
      <c r="AH13" s="689">
        <f t="shared" si="5"/>
        <v>52239</v>
      </c>
      <c r="AI13" s="689">
        <f t="shared" si="6"/>
        <v>46234</v>
      </c>
      <c r="AJ13" s="690">
        <f t="shared" si="7"/>
        <v>45215</v>
      </c>
    </row>
    <row r="14" spans="1:36" ht="12.75">
      <c r="A14" s="762" t="s">
        <v>23</v>
      </c>
      <c r="B14" s="218"/>
      <c r="C14" s="265"/>
      <c r="D14" s="703">
        <v>15330</v>
      </c>
      <c r="E14" s="703">
        <v>16455</v>
      </c>
      <c r="F14" s="703">
        <v>16946</v>
      </c>
      <c r="G14" s="703">
        <v>16576</v>
      </c>
      <c r="H14" s="704">
        <v>19057</v>
      </c>
      <c r="I14" s="119"/>
      <c r="J14" s="38"/>
      <c r="K14" s="705">
        <v>21342</v>
      </c>
      <c r="L14" s="705">
        <v>21348</v>
      </c>
      <c r="M14" s="705">
        <v>22729</v>
      </c>
      <c r="N14" s="705">
        <v>19708</v>
      </c>
      <c r="O14" s="706">
        <v>21141</v>
      </c>
      <c r="P14" s="220"/>
      <c r="Q14" s="180"/>
      <c r="R14" s="180">
        <f>+D14+K14</f>
        <v>36672</v>
      </c>
      <c r="S14" s="180">
        <f t="shared" si="0"/>
        <v>37803</v>
      </c>
      <c r="T14" s="180">
        <f t="shared" si="1"/>
        <v>39675</v>
      </c>
      <c r="U14" s="180">
        <f t="shared" si="2"/>
        <v>36284</v>
      </c>
      <c r="V14" s="181">
        <f t="shared" si="3"/>
        <v>40198</v>
      </c>
      <c r="W14" s="132"/>
      <c r="X14" s="274"/>
      <c r="Y14" s="682">
        <v>4670</v>
      </c>
      <c r="Z14" s="682">
        <v>5964</v>
      </c>
      <c r="AA14" s="682">
        <v>6489</v>
      </c>
      <c r="AB14" s="682">
        <v>5576</v>
      </c>
      <c r="AC14" s="727">
        <v>4793</v>
      </c>
      <c r="AD14" s="120"/>
      <c r="AE14" s="263"/>
      <c r="AF14" s="689">
        <f>+R14+Y14</f>
        <v>41342</v>
      </c>
      <c r="AG14" s="689">
        <f t="shared" si="4"/>
        <v>43767</v>
      </c>
      <c r="AH14" s="689">
        <f t="shared" si="5"/>
        <v>46164</v>
      </c>
      <c r="AI14" s="689">
        <f t="shared" si="6"/>
        <v>41860</v>
      </c>
      <c r="AJ14" s="690">
        <f t="shared" si="7"/>
        <v>44991</v>
      </c>
    </row>
    <row r="15" spans="1:36" ht="13.5" thickBot="1">
      <c r="A15" s="771" t="s">
        <v>24</v>
      </c>
      <c r="B15" s="453"/>
      <c r="C15" s="989"/>
      <c r="D15" s="709">
        <v>13091</v>
      </c>
      <c r="E15" s="709">
        <v>15835</v>
      </c>
      <c r="F15" s="709">
        <v>17526</v>
      </c>
      <c r="G15" s="709">
        <v>15062</v>
      </c>
      <c r="H15" s="712">
        <v>15241</v>
      </c>
      <c r="I15" s="401"/>
      <c r="J15" s="454"/>
      <c r="K15" s="710">
        <v>16660</v>
      </c>
      <c r="L15" s="710">
        <v>19463</v>
      </c>
      <c r="M15" s="710">
        <v>21564</v>
      </c>
      <c r="N15" s="710">
        <v>17772</v>
      </c>
      <c r="O15" s="711">
        <v>19594</v>
      </c>
      <c r="P15" s="455"/>
      <c r="Q15" s="456"/>
      <c r="R15" s="398">
        <f>+D15+K15</f>
        <v>29751</v>
      </c>
      <c r="S15" s="398">
        <f t="shared" si="0"/>
        <v>35298</v>
      </c>
      <c r="T15" s="398">
        <f t="shared" si="1"/>
        <v>39090</v>
      </c>
      <c r="U15" s="398">
        <f t="shared" si="2"/>
        <v>32834</v>
      </c>
      <c r="V15" s="723">
        <f t="shared" si="3"/>
        <v>34835</v>
      </c>
      <c r="W15" s="457"/>
      <c r="X15" s="1020"/>
      <c r="Y15" s="728">
        <v>13442</v>
      </c>
      <c r="Z15" s="728">
        <v>5006</v>
      </c>
      <c r="AA15" s="728">
        <v>7359</v>
      </c>
      <c r="AB15" s="728">
        <v>7750</v>
      </c>
      <c r="AC15" s="729">
        <v>5305</v>
      </c>
      <c r="AD15" s="402"/>
      <c r="AE15" s="458"/>
      <c r="AF15" s="691">
        <f>+R15+Y15</f>
        <v>43193</v>
      </c>
      <c r="AG15" s="691">
        <f t="shared" si="4"/>
        <v>40304</v>
      </c>
      <c r="AH15" s="691">
        <f t="shared" si="5"/>
        <v>46449</v>
      </c>
      <c r="AI15" s="691">
        <f t="shared" si="6"/>
        <v>40584</v>
      </c>
      <c r="AJ15" s="692">
        <f t="shared" si="7"/>
        <v>40140</v>
      </c>
    </row>
    <row r="16" spans="1:36" s="310" customFormat="1" ht="12.75">
      <c r="A16" s="881" t="s">
        <v>25</v>
      </c>
      <c r="B16" s="396">
        <f>SUM(C16-D16)/D16</f>
        <v>-0.9378561017622896</v>
      </c>
      <c r="C16" s="746">
        <f>SUM(C4)</f>
        <v>11256</v>
      </c>
      <c r="D16" s="707">
        <f>SUM(D4:D15)</f>
        <v>181128</v>
      </c>
      <c r="E16" s="707">
        <f>SUM(E4:E14)</f>
        <v>195306</v>
      </c>
      <c r="F16" s="707">
        <f>SUM(F4:F14)</f>
        <v>193138</v>
      </c>
      <c r="G16" s="707">
        <f>SUM(G4:G14)</f>
        <v>185462</v>
      </c>
      <c r="H16" s="707">
        <f>SUM(H4:H14)</f>
        <v>203399</v>
      </c>
      <c r="I16" s="396">
        <f>SUM(J16-K16)/K16</f>
        <v>-0.9316362072672544</v>
      </c>
      <c r="J16" s="746">
        <f>SUM(J4)</f>
        <v>15898</v>
      </c>
      <c r="K16" s="707">
        <f>SUM(K4:K15)</f>
        <v>232550</v>
      </c>
      <c r="L16" s="707">
        <f>SUM(L4:L14)</f>
        <v>220427</v>
      </c>
      <c r="M16" s="707">
        <f>SUM(M4:M14)</f>
        <v>227784</v>
      </c>
      <c r="N16" s="707">
        <f>SUM(N4:N14)</f>
        <v>220261</v>
      </c>
      <c r="O16" s="707">
        <f>SUM(O4:O14)</f>
        <v>221428</v>
      </c>
      <c r="P16" s="1019">
        <f>SUM(Q16-R16)/R16</f>
        <v>-0.9615714102662016</v>
      </c>
      <c r="Q16" s="399">
        <f>+B16+J16</f>
        <v>15897.062143898238</v>
      </c>
      <c r="R16" s="332">
        <f>+D16+K16</f>
        <v>413678</v>
      </c>
      <c r="S16" s="332">
        <f>+E16+L16</f>
        <v>415733</v>
      </c>
      <c r="T16" s="332">
        <f>+F16+M16</f>
        <v>420922</v>
      </c>
      <c r="U16" s="332">
        <f>+G16+N16</f>
        <v>405723</v>
      </c>
      <c r="V16" s="332">
        <f>+H16+O16</f>
        <v>424827</v>
      </c>
      <c r="W16" s="396">
        <f>SUM(X16-Y16)/Y16</f>
        <v>-0.9333062805979527</v>
      </c>
      <c r="X16" s="746">
        <f>SUM(X4)</f>
        <v>5095</v>
      </c>
      <c r="Y16" s="707">
        <f>SUM(Y4:Y15)</f>
        <v>76394</v>
      </c>
      <c r="Z16" s="707">
        <f>SUM(Z4:Z14)</f>
        <v>74220</v>
      </c>
      <c r="AA16" s="707">
        <f>SUM(AA4:AA14)</f>
        <v>80446</v>
      </c>
      <c r="AB16" s="707">
        <f>SUM(AB4:AB14)</f>
        <v>77008</v>
      </c>
      <c r="AC16" s="707">
        <f>SUM(AC4:AC14)</f>
        <v>73180</v>
      </c>
      <c r="AD16" s="396">
        <f>SUM(AE16-AF16)/AF16</f>
        <v>-0.5481744178534596</v>
      </c>
      <c r="AE16" s="399">
        <f>+O16+W16</f>
        <v>221427.0666937194</v>
      </c>
      <c r="AF16" s="746">
        <f>+R16+Y16</f>
        <v>490072</v>
      </c>
      <c r="AG16" s="746">
        <f>+S16+Z16</f>
        <v>489953</v>
      </c>
      <c r="AH16" s="746">
        <f>+T16+AA16</f>
        <v>501368</v>
      </c>
      <c r="AI16" s="746">
        <f>+U16+AB16</f>
        <v>482731</v>
      </c>
      <c r="AJ16" s="801">
        <f>+V16+AC16</f>
        <v>498007</v>
      </c>
    </row>
    <row r="17" spans="1:36" s="310" customFormat="1" ht="13.5" thickBot="1">
      <c r="A17" s="880" t="s">
        <v>28</v>
      </c>
      <c r="B17" s="313">
        <f>SUM(C17-D17)/D17</f>
        <v>-0.28022636803990214</v>
      </c>
      <c r="C17" s="295">
        <f>AVERAGE(C4:C7)</f>
        <v>11256</v>
      </c>
      <c r="D17" s="357">
        <f>AVERAGE(D4:D7)</f>
        <v>15638.25</v>
      </c>
      <c r="E17" s="102">
        <f>AVERAGE(E4:E15)</f>
        <v>17595.083333333332</v>
      </c>
      <c r="F17" s="102">
        <f>AVERAGE(F4:F15)</f>
        <v>17555.333333333332</v>
      </c>
      <c r="G17" s="102">
        <f>AVERAGE(G4:G15)</f>
        <v>16710.333333333332</v>
      </c>
      <c r="H17" s="102">
        <f>AVERAGE(H4:H15)</f>
        <v>18220</v>
      </c>
      <c r="I17" s="313">
        <f>SUM(J17-K17)/K17</f>
        <v>-0.16418695126439198</v>
      </c>
      <c r="J17" s="295">
        <f>AVERAGE(J4:J12)</f>
        <v>15898</v>
      </c>
      <c r="K17" s="357">
        <f>AVERAGE(K4:K7)</f>
        <v>19021</v>
      </c>
      <c r="L17" s="102">
        <f>AVERAGE(L4:L15)</f>
        <v>19990.833333333332</v>
      </c>
      <c r="M17" s="102">
        <f>AVERAGE(M4:M15)</f>
        <v>20779</v>
      </c>
      <c r="N17" s="102">
        <f>AVERAGE(N4:N15)</f>
        <v>19836.083333333332</v>
      </c>
      <c r="O17" s="102">
        <f>AVERAGE(O4:O15)</f>
        <v>20085.166666666668</v>
      </c>
      <c r="P17" s="879">
        <f>SUM(Q17-R17)/R17</f>
        <v>-0.21654392406067643</v>
      </c>
      <c r="Q17" s="295">
        <f>AVERAGE(Q4:Q7)</f>
        <v>27154</v>
      </c>
      <c r="R17" s="357">
        <f>AVERAGE(R4:R7)</f>
        <v>34659.25</v>
      </c>
      <c r="S17" s="102">
        <f>AVERAGE(S4:S15)</f>
        <v>37585.916666666664</v>
      </c>
      <c r="T17" s="102">
        <f>AVERAGE(T4:T15)</f>
        <v>38334.333333333336</v>
      </c>
      <c r="U17" s="102">
        <f>AVERAGE(U4:U15)</f>
        <v>36546.416666666664</v>
      </c>
      <c r="V17" s="102">
        <f>AVERAGE(V4:V15)</f>
        <v>38305.166666666664</v>
      </c>
      <c r="W17" s="313">
        <f>SUM(X17-Y17)/Y17</f>
        <v>-0.18293709658020285</v>
      </c>
      <c r="X17" s="295">
        <f>AVERAGE(X4:X7)</f>
        <v>5095</v>
      </c>
      <c r="Y17" s="357">
        <f>AVERAGE(Y4:Y7)</f>
        <v>6235.75</v>
      </c>
      <c r="Z17" s="102">
        <f>AVERAGE(Z4:Z15)</f>
        <v>6602.166666666667</v>
      </c>
      <c r="AA17" s="102">
        <f>AVERAGE(AA4:AA15)</f>
        <v>7317.083333333333</v>
      </c>
      <c r="AB17" s="102">
        <f>AVERAGE(AB4:AB15)</f>
        <v>7063.166666666667</v>
      </c>
      <c r="AC17" s="356">
        <f>AVERAGE(AC4:AC15)</f>
        <v>6540.416666666667</v>
      </c>
      <c r="AD17" s="313">
        <f>SUM(AE17-AF17)/AF17</f>
        <v>-0.21141948893507764</v>
      </c>
      <c r="AE17" s="102">
        <f>AVERAGE(AE4:AE15)</f>
        <v>32249</v>
      </c>
      <c r="AF17" s="295">
        <f>AVERAGE(AF4:AF7)</f>
        <v>40895</v>
      </c>
      <c r="AG17" s="102">
        <f>AVERAGE(AG4:AG15)</f>
        <v>44188.083333333336</v>
      </c>
      <c r="AH17" s="102">
        <f>AVERAGE(AH4:AH15)</f>
        <v>45651.416666666664</v>
      </c>
      <c r="AI17" s="102">
        <f>AVERAGE(AI4:AI15)</f>
        <v>43609.583333333336</v>
      </c>
      <c r="AJ17" s="312">
        <f>AVERAGE(AJ4:AJ15)</f>
        <v>44845.583333333336</v>
      </c>
    </row>
    <row r="19" spans="31:32" ht="1.5" customHeight="1">
      <c r="AE19">
        <v>446542</v>
      </c>
      <c r="AF19">
        <v>446542</v>
      </c>
    </row>
  </sheetData>
  <mergeCells count="7">
    <mergeCell ref="I3:O3"/>
    <mergeCell ref="B3:H3"/>
    <mergeCell ref="A1:A2"/>
    <mergeCell ref="B1:AJ1"/>
    <mergeCell ref="P3:V3"/>
    <mergeCell ref="W3:AC3"/>
    <mergeCell ref="AD3:AJ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</dc:creator>
  <cp:keywords/>
  <dc:description/>
  <cp:lastModifiedBy>rex</cp:lastModifiedBy>
  <cp:lastPrinted>2004-06-07T14:04:21Z</cp:lastPrinted>
  <dcterms:created xsi:type="dcterms:W3CDTF">2003-10-23T19:20:23Z</dcterms:created>
  <dcterms:modified xsi:type="dcterms:W3CDTF">2008-09-08T10:10:31Z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1125622599</vt:i4>
  </property>
  <property fmtid="{D5CDD505-2E9C-101B-9397-08002B2CF9AE}" pid="3" name="_EmailSubject">
    <vt:lpwstr>July container traffic report</vt:lpwstr>
  </property>
  <property fmtid="{D5CDD505-2E9C-101B-9397-08002B2CF9AE}" pid="4" name="_AuthorEmail">
    <vt:lpwstr>rsherman@AAPA-Ports.org</vt:lpwstr>
  </property>
  <property fmtid="{D5CDD505-2E9C-101B-9397-08002B2CF9AE}" pid="5" name="_AuthorEmailDisplayName">
    <vt:lpwstr>Rex Sherman</vt:lpwstr>
  </property>
</Properties>
</file>